
<file path=[Content_Types].xml><?xml version="1.0" encoding="utf-8"?>
<Types xmlns="http://schemas.openxmlformats.org/package/2006/content-types">
  <Default Extension="rels" ContentType="application/vnd.openxmlformats-package.relationships+xml"/>
  <Default Extension="xml" ContentType="application/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dataelements" sheetId="1" r:id="rId1"/>
    <sheet name="optionset" sheetId="2" r:id="rId2"/>
  </sheets>
  <calcPr calcId="124519" fullCalcOnLoad="1"/>
</workbook>
</file>

<file path=xl/sharedStrings.xml><?xml version="1.0" encoding="utf-8"?>
<sst xmlns="http://schemas.openxmlformats.org/spreadsheetml/2006/main" count="36" uniqueCount="27">
  <si>
    <t>Name</t>
  </si>
  <si>
    <t>Code</t>
  </si>
  <si>
    <t>UUID</t>
  </si>
  <si>
    <t>Short Name</t>
  </si>
  <si>
    <t>Domain Name</t>
  </si>
  <si>
    <t>AGGREGATE</t>
  </si>
  <si>
    <t>Value type</t>
  </si>
  <si>
    <t>select_one_from_file states.csv</t>
  </si>
  <si>
    <t>calculate</t>
  </si>
  <si>
    <t>select_one_from_file LGAs.csv</t>
  </si>
  <si>
    <t>text</t>
  </si>
  <si>
    <t>select_one_from_file facilities.csv</t>
  </si>
  <si>
    <t>Aggregration operator</t>
  </si>
  <si>
    <t>NONE</t>
  </si>
  <si>
    <t>Category combination UID</t>
  </si>
  <si>
    <t>URL</t>
  </si>
  <si>
    <t>Zero is significant</t>
  </si>
  <si>
    <t>Option set</t>
  </si>
  <si>
    <t>Comment option set</t>
  </si>
  <si>
    <t>Description</t>
  </si>
  <si>
    <t>Form Name</t>
  </si>
  <si>
    <t>Option SetName</t>
  </si>
  <si>
    <t>Option SetUID</t>
  </si>
  <si>
    <t>Option SetCode</t>
  </si>
  <si>
    <t>Option Name</t>
  </si>
  <si>
    <t>Option UID</t>
  </si>
  <si>
    <t>Option Code</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</si>
</sst>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
    <xf numFmtId="0" fontId="0" fillId="0" borderId="0" xfId="0"/>
    <xf numFmtId="0" fontId="1" fillId="0" borderId="1" xfId="0" applyFont="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715"/>
  <sheetViews>
    <sheetView tabSelected="1" workbookViewId="0"/>
  </sheetViews>
  <sheetFormatPr defaultRowHeight="15"/>
  <sheetData>
    <row r="1" spans="1:14">
      <c r="A1" s="1" t="s">
        <v>0</v>
      </c>
      <c r="B1" s="1" t="s">
        <v>2</v>
      </c>
      <c r="C1" s="1" t="s">
        <v>1</v>
      </c>
      <c r="D1" s="1" t="s">
        <v>3</v>
      </c>
      <c r="E1" s="1" t="s">
        <v>19</v>
      </c>
      <c r="F1" s="1" t="s">
        <v>20</v>
      </c>
      <c r="G1" s="1" t="s">
        <v>4</v>
      </c>
      <c r="H1" s="1" t="s">
        <v>6</v>
      </c>
      <c r="I1" s="1" t="s">
        <v>12</v>
      </c>
      <c r="J1" s="1" t="s">
        <v>14</v>
      </c>
      <c r="K1" s="1" t="s">
        <v>15</v>
      </c>
      <c r="L1" s="1" t="s">
        <v>16</v>
      </c>
      <c r="M1" s="1" t="s">
        <v>17</v>
      </c>
      <c r="N1" s="1" t="s">
        <v>18</v>
      </c>
    </row>
    <row r="2" spans="1:14">
      <c r="A2">
        <f>IFERROR(__xludf.DUMMYFUNCTION("""COMPUTED_VALUE"""),"")</f>
        <v>0</v>
      </c>
      <c r="B2">
        <f>IFERROR(4C</f>
        <v>0</v>
      </c>
      <c r="D2">
        <f>IFERROR(__xludf.DUMMYFUNCTION("""COMPUTED_VALUE"""),"")</f>
        <v>0</v>
      </c>
      <c r="H2">
        <f>IFERROR(__xludf.DUMMYFUNCTION("""COMPUTED_VALUE"""),"start")</f>
        <v>0</v>
      </c>
      <c r="M2">
        <f>IFERROR(00</f>
        <v>0</v>
      </c>
    </row>
    <row r="3" spans="1:14">
      <c r="A3">
        <f>IFERROR(__xludf.DUMMYFUNCTION("""COMPUTED_VALUE"""),"")</f>
        <v>0</v>
      </c>
      <c r="B3">
        <f>IFERROR(6h</f>
        <v>0</v>
      </c>
      <c r="D3">
        <f>IFERROR(__xludf.DUMMYFUNCTION("""COMPUTED_VALUE"""),"")</f>
        <v>0</v>
      </c>
      <c r="H3">
        <f>IFERROR(__xludf.DUMMYFUNCTION("""COMPUTED_VALUE"""),"end")</f>
        <v>0</v>
      </c>
      <c r="M3">
        <f>IFERROR(00</f>
        <v>0</v>
      </c>
    </row>
    <row r="4" spans="1:14">
      <c r="A4">
        <f>IFERROR(__xludf.DUMMYFUNCTION("""COMPUTED_VALUE"""),"")</f>
        <v>0</v>
      </c>
      <c r="B4">
        <f>IFERROR(5g</f>
        <v>0</v>
      </c>
      <c r="D4">
        <f>IFERROR(__xludf.DUMMYFUNCTION("""COMPUTED_VALUE"""),"")</f>
        <v>0</v>
      </c>
      <c r="H4">
        <f>IFERROR(__xludf.DUMMYFUNCTION("""COMPUTED_VALUE"""),"calculate")</f>
        <v>0</v>
      </c>
      <c r="M4">
        <f>IFERROR(00</f>
        <v>0</v>
      </c>
    </row>
    <row r="5" spans="1:14">
      <c r="A5">
        <f>IFERROR(__xludf.DUMMYFUNCTION("""COMPUTED_VALUE"""),"Section 1.0 **General Information**")</f>
        <v>0</v>
      </c>
      <c r="B5">
        <f>IFERROR(6U</f>
        <v>0</v>
      </c>
      <c r="D5">
        <f>IFERROR(__xludf.DUMMYFUNCTION("""COMPUTED_VALUE"""),"Section 1.0 **General Information**")</f>
        <v>0</v>
      </c>
      <c r="H5">
        <f>IFERROR(__xludf.DUMMYFUNCTION("""COMPUTED_VALUE"""),"begin_group")</f>
        <v>0</v>
      </c>
      <c r="M5">
        <f>IFERROR(00</f>
        <v>0</v>
      </c>
    </row>
    <row r="6" spans="1:14">
      <c r="A6">
        <f>IFERROR(__xludf.DUMMYFUNCTION("""COMPUTED_VALUE"""),"1. Name of Respondent")</f>
        <v>0</v>
      </c>
      <c r="B6">
        <f>IFERROR(5q</f>
        <v>0</v>
      </c>
      <c r="D6">
        <f>IFERROR(__xludf.DUMMYFUNCTION("""COMPUTED_VALUE"""),"1. Name of Respondent")</f>
        <v>0</v>
      </c>
      <c r="H6">
        <f>IFERROR(__xludf.DUMMYFUNCTION("""COMPUTED_VALUE"""),"text")</f>
        <v>0</v>
      </c>
      <c r="M6">
        <f>IFERROR(00</f>
        <v>0</v>
      </c>
    </row>
    <row r="7" spans="1:14">
      <c r="A7">
        <f>IFERROR(__xludf.DUMMYFUNCTION("""COMPUTED_VALUE"""),"2. State")</f>
        <v>0</v>
      </c>
      <c r="B7">
        <f>IFERROR(9Q</f>
        <v>0</v>
      </c>
      <c r="D7">
        <f>IFERROR(__xludf.DUMMYFUNCTION("""COMPUTED_VALUE"""),"2. State")</f>
        <v>0</v>
      </c>
      <c r="G7" t="s">
        <v>5</v>
      </c>
      <c r="H7" t="s">
        <v>7</v>
      </c>
      <c r="I7" t="s">
        <v>13</v>
      </c>
      <c r="M7">
        <f>IFERROR(00</f>
        <v>0</v>
      </c>
    </row>
    <row r="8" spans="1:14">
      <c r="A8">
        <f>IFERROR(__xludf.DUMMYFUNCTION("""COMPUTED_VALUE"""),"")</f>
        <v>0</v>
      </c>
      <c r="B8">
        <f>IFERROR(4B</f>
        <v>0</v>
      </c>
      <c r="D8">
        <f>IFERROR(__xludf.DUMMYFUNCTION("""COMPUTED_VALUE"""),"")</f>
        <v>0</v>
      </c>
      <c r="H8" t="s">
        <v>8</v>
      </c>
      <c r="M8">
        <f>IFERROR(00</f>
        <v>0</v>
      </c>
    </row>
    <row r="9" spans="1:14">
      <c r="A9">
        <f>IFERROR(__xludf.DUMMYFUNCTION("""COMPUTED_VALUE"""),"3. LGA Name")</f>
        <v>0</v>
      </c>
      <c r="B9">
        <f>IFERROR(8n</f>
        <v>0</v>
      </c>
      <c r="D9">
        <f>IFERROR(__xludf.DUMMYFUNCTION("""COMPUTED_VALUE"""),"3. LGA Name")</f>
        <v>0</v>
      </c>
      <c r="G9" t="s">
        <v>5</v>
      </c>
      <c r="H9" t="s">
        <v>9</v>
      </c>
      <c r="I9" t="s">
        <v>13</v>
      </c>
      <c r="M9">
        <f>IFERROR(00</f>
        <v>0</v>
      </c>
    </row>
    <row r="10" spans="1:14">
      <c r="A10">
        <f>IFERROR(__xludf.DUMMYFUNCTION("""COMPUTED_VALUE"""),"")</f>
        <v>0</v>
      </c>
      <c r="B10">
        <f>IFERROR(7Q</f>
        <v>0</v>
      </c>
      <c r="D10">
        <f>IFERROR(__xludf.DUMMYFUNCTION("""COMPUTED_VALUE"""),"")</f>
        <v>0</v>
      </c>
      <c r="H10" t="s">
        <v>8</v>
      </c>
      <c r="M10">
        <f>IFERROR(00</f>
        <v>0</v>
      </c>
    </row>
    <row r="11" spans="1:14">
      <c r="A11">
        <f>IFERROR(__xludf.DUMMYFUNCTION("""COMPUTED_VALUE"""),"4. Name of Ward")</f>
        <v>0</v>
      </c>
      <c r="B11">
        <f>IFERROR(5i</f>
        <v>0</v>
      </c>
      <c r="D11">
        <f>IFERROR(__xludf.DUMMYFUNCTION("""COMPUTED_VALUE"""),"4. Name of Ward")</f>
        <v>0</v>
      </c>
      <c r="G11" t="s">
        <v>5</v>
      </c>
      <c r="H11" t="s">
        <v>10</v>
      </c>
      <c r="I11" t="s">
        <v>13</v>
      </c>
      <c r="M11">
        <f>IFERROR(00</f>
        <v>0</v>
      </c>
    </row>
    <row r="12" spans="1:14">
      <c r="A12">
        <f>IFERROR(__xludf.DUMMYFUNCTION("""COMPUTED_VALUE"""),"")</f>
        <v>0</v>
      </c>
      <c r="B12">
        <f>IFERROR(1I</f>
        <v>0</v>
      </c>
      <c r="D12">
        <f>IFERROR(__xludf.DUMMYFUNCTION("""COMPUTED_VALUE"""),"")</f>
        <v>0</v>
      </c>
      <c r="H12" t="s">
        <v>8</v>
      </c>
      <c r="M12">
        <f>IFERROR(00</f>
        <v>0</v>
      </c>
    </row>
    <row r="13" spans="1:14">
      <c r="A13">
        <f>IFERROR(__xludf.DUMMYFUNCTION("""COMPUTED_VALUE"""),"5. Facility Name")</f>
        <v>0</v>
      </c>
      <c r="B13">
        <f>IFERROR(4P</f>
        <v>0</v>
      </c>
      <c r="D13">
        <f>IFERROR(__xludf.DUMMYFUNCTION("""COMPUTED_VALUE"""),"5. Facility Name")</f>
        <v>0</v>
      </c>
      <c r="G13" t="s">
        <v>5</v>
      </c>
      <c r="H13" t="s">
        <v>11</v>
      </c>
      <c r="I13" t="s">
        <v>13</v>
      </c>
      <c r="M13">
        <f>IFERROR(00</f>
        <v>0</v>
      </c>
    </row>
    <row r="14" spans="1:14">
      <c r="A14">
        <f>IFERROR(__xludf.DUMMYFUNCTION("""COMPUTED_VALUE"""),"")</f>
        <v>0</v>
      </c>
      <c r="B14">
        <f>IFERROR(2N</f>
        <v>0</v>
      </c>
      <c r="D14">
        <f>IFERROR(__xludf.DUMMYFUNCTION("""COMPUTED_VALUE"""),"")</f>
        <v>0</v>
      </c>
      <c r="H14" t="s">
        <v>8</v>
      </c>
      <c r="M14">
        <f>IFERROR(00</f>
        <v>0</v>
      </c>
    </row>
    <row r="15" spans="1:14">
      <c r="A15">
        <f>IFERROR(__xludf.DUMMYFUNCTION("""COMPUTED_VALUE"""),"Input facility name")</f>
        <v>0</v>
      </c>
      <c r="B15">
        <f>IFERROR(1H</f>
        <v>0</v>
      </c>
      <c r="D15">
        <f>IFERROR(__xludf.DUMMYFUNCTION("""COMPUTED_VALUE"""),"Input facility name")</f>
        <v>0</v>
      </c>
      <c r="H15">
        <f>IFERROR(__xludf.DUMMYFUNCTION("IMPORTRANGE(""https://docs.google.com/spreadsheets/d/19-MdlK2UPjYTac1T6ZkBgln5SDvtekVZB7qnlp52Hik/edit#gid=0"",""survey!A15:AD715"")"),"text")</f>
        <v>0</v>
      </c>
      <c r="M15">
        <f>IFERROR(00</f>
        <v>0</v>
      </c>
    </row>
    <row r="16" spans="1:14">
      <c r="A16">
        <f>IFERROR(__xludf.DUMMYFUNCTION("""COMPUTED_VALUE"""),"6. Facility Type")</f>
        <v>0</v>
      </c>
      <c r="B16">
        <f>IFERROR(6S</f>
        <v>0</v>
      </c>
      <c r="D16">
        <f>IFERROR(__xludf.DUMMYFUNCTION("""COMPUTED_VALUE"""),"6. Facility Type")</f>
        <v>0</v>
      </c>
      <c r="H16">
        <f>IFERROR(__xludf.DUMMYFUNCTION("""COMPUTED_VALUE"""),"select_one facility_type")</f>
        <v>0</v>
      </c>
      <c r="M16">
        <f>IFERROR(00</f>
        <v>0</v>
      </c>
    </row>
    <row r="17" spans="1:13">
      <c r="A17">
        <f>IFERROR(__xludf.DUMMYFUNCTION("""COMPUTED_VALUE"""),"7. Contract Type")</f>
        <v>0</v>
      </c>
      <c r="B17">
        <f>IFERROR(4t</f>
        <v>0</v>
      </c>
      <c r="D17">
        <f>IFERROR(__xludf.DUMMYFUNCTION("""COMPUTED_VALUE"""),"7. Contract Type")</f>
        <v>0</v>
      </c>
      <c r="H17">
        <f>IFERROR(__xludf.DUMMYFUNCTION("""COMPUTED_VALUE"""),"select_one contract")</f>
        <v>0</v>
      </c>
      <c r="M17">
        <f>IFERROR(00</f>
        <v>0</v>
      </c>
    </row>
    <row r="18" spans="1:13">
      <c r="A18">
        <f>IFERROR(__xludf.DUMMYFUNCTION("""COMPUTED_VALUE"""),"8. Location of survey")</f>
        <v>0</v>
      </c>
      <c r="B18">
        <f>IFERROR(5J</f>
        <v>0</v>
      </c>
      <c r="D18">
        <f>IFERROR(__xludf.DUMMYFUNCTION("""COMPUTED_VALUE"""),"8. Location of survey")</f>
        <v>0</v>
      </c>
      <c r="H18">
        <f>IFERROR(__xludf.DUMMYFUNCTION("""COMPUTED_VALUE"""),"geopoint")</f>
        <v>0</v>
      </c>
      <c r="M18">
        <f>IFERROR000</f>
        <v>0</v>
      </c>
    </row>
    <row r="19" spans="1:13">
      <c r="A19">
        <f>IFERROR(__xludf.DUMMYFUNCTION("""COMPUTED_VALUE"""),"9. Take a picture of the Facility")</f>
        <v>0</v>
      </c>
      <c r="B19">
        <f>IFERROR(2y</f>
        <v>0</v>
      </c>
      <c r="D19">
        <f>IFERROR(__xludf.DUMMYFUNCTION("""COMPUTED_VALUE"""),"9. Take a picture of the Facility")</f>
        <v>0</v>
      </c>
      <c r="H19">
        <f>IFERROR(__xludf.DUMMYFUNCTION("""COMPUTED_VALUE"""),"image")</f>
        <v>0</v>
      </c>
      <c r="M19">
        <f>IFERROR000</f>
        <v>0</v>
      </c>
    </row>
    <row r="20" spans="1:13">
      <c r="A20">
        <f>IFERROR(__xludf.DUMMYFUNCTION("""COMPUTED_VALUE"""),"10. Total Catchment Population")</f>
        <v>0</v>
      </c>
      <c r="B20">
        <f>IFERROR(1p</f>
        <v>0</v>
      </c>
      <c r="D20">
        <f>IFERROR(__xludf.DUMMYFUNCTION("""COMPUTED_VALUE"""),"10. Total Catchment Population")</f>
        <v>0</v>
      </c>
      <c r="H20">
        <f>IFERROR(__xludf.DUMMYFUNCTION("""COMPUTED_VALUE"""),"integer")</f>
        <v>0</v>
      </c>
      <c r="M20">
        <f>IFERROR(00</f>
        <v>0</v>
      </c>
    </row>
    <row r="21" spans="1:13">
      <c r="A21">
        <f>IFERROR(__xludf.DUMMYFUNCTION("""COMPUTED_VALUE"""),"11a. Number of Beds")</f>
        <v>0</v>
      </c>
      <c r="B21">
        <f>IFERROR(3w</f>
        <v>0</v>
      </c>
      <c r="D21">
        <f>IFERROR(__xludf.DUMMYFUNCTION("""COMPUTED_VALUE"""),"11a. Number of Beds")</f>
        <v>0</v>
      </c>
      <c r="H21">
        <f>IFERROR(__xludf.DUMMYFUNCTION("""COMPUTED_VALUE"""),"integer")</f>
        <v>0</v>
      </c>
      <c r="M21">
        <f>IFERROR(00</f>
        <v>0</v>
      </c>
    </row>
    <row r="22" spans="1:13">
      <c r="A22">
        <f>IFERROR(__xludf.DUMMYFUNCTION("""COMPUTED_VALUE"""),"")</f>
        <v>0</v>
      </c>
      <c r="B22">
        <f>IFERROR(7a</f>
        <v>0</v>
      </c>
      <c r="D22">
        <f>IFERROR(__xludf.DUMMYFUNCTION("""COMPUTED_VALUE"""),"")</f>
        <v>0</v>
      </c>
      <c r="H22">
        <f>IFERROR(__xludf.DUMMYFUNCTION("""COMPUTED_VALUE"""),"calculate")</f>
        <v>0</v>
      </c>
      <c r="M22">
        <f>IFERROR(00</f>
        <v>0</v>
      </c>
    </row>
    <row r="23" spans="1:13">
      <c r="A23">
        <f>IFERROR(__xludf.DUMMYFUNCTION("""COMPUTED_VALUE"""),"b. There are: ${NumBeds1000} beds per 1000 inhabitants")</f>
        <v>0</v>
      </c>
      <c r="B23">
        <f>IFERROR(5p</f>
        <v>0</v>
      </c>
      <c r="D23">
        <f>IFERROR(__xludf.DUMMYFUNCTION("""COMPUTED_VALUE"""),"b. There are: ${NumBeds1000} beds per 1000 inhabitants")</f>
        <v>0</v>
      </c>
      <c r="H23">
        <f>IFERROR(__xludf.DUMMYFUNCTION("""COMPUTED_VALUE"""),"hidden")</f>
        <v>0</v>
      </c>
      <c r="M23">
        <f>IFERROR(00</f>
        <v>0</v>
      </c>
    </row>
    <row r="24" spans="1:13">
      <c r="A24">
        <f>IFERROR(__xludf.DUMMYFUNCTION("""COMPUTED_VALUE"""),"12a. Number of Qualified Staff")</f>
        <v>0</v>
      </c>
      <c r="B24">
        <f>IFERROR(5X</f>
        <v>0</v>
      </c>
      <c r="D24">
        <f>IFERROR(__xludf.DUMMYFUNCTION("""COMPUTED_VALUE"""),"12a. Number of Qualified Staff")</f>
        <v>0</v>
      </c>
      <c r="H24">
        <f>IFERROR(__xludf.DUMMYFUNCTION("""COMPUTED_VALUE"""),"integer")</f>
        <v>0</v>
      </c>
      <c r="M24">
        <f>IFERROR(00</f>
        <v>0</v>
      </c>
    </row>
    <row r="25" spans="1:13">
      <c r="A25">
        <f>IFERROR(__xludf.DUMMYFUNCTION("""COMPUTED_VALUE"""),"")</f>
        <v>0</v>
      </c>
      <c r="B25">
        <f>IFERROR(3U</f>
        <v>0</v>
      </c>
      <c r="D25">
        <f>IFERROR(__xludf.DUMMYFUNCTION("""COMPUTED_VALUE"""),"")</f>
        <v>0</v>
      </c>
      <c r="H25">
        <f>IFERROR(__xludf.DUMMYFUNCTION("""COMPUTED_VALUE"""),"calculate")</f>
        <v>0</v>
      </c>
      <c r="M25">
        <f>IFERROR(00</f>
        <v>0</v>
      </c>
    </row>
    <row r="26" spans="1:13">
      <c r="A26">
        <f>IFERROR(__xludf.DUMMYFUNCTION("""COMPUTED_VALUE"""),"b. There are: ${CalcStaffs0} qualified staff per 2000 inhabitants")</f>
        <v>0</v>
      </c>
      <c r="B26">
        <f>IFERROR(4l</f>
        <v>0</v>
      </c>
      <c r="D26">
        <f>IFERROR(__xludf.DUMMYFUNCTION("""COMPUTED_VALUE"""),"b. There are: ${CalcStaffs0} qualified staff per 2000 inhabitants")</f>
        <v>0</v>
      </c>
      <c r="H26">
        <f>IFERROR(__xludf.DUMMYFUNCTION("""COMPUTED_VALUE"""),"hidden")</f>
        <v>0</v>
      </c>
      <c r="M26">
        <f>IFERROR000</f>
        <v>0</v>
      </c>
    </row>
    <row r="27" spans="1:13">
      <c r="A27">
        <f>IFERROR(__xludf.DUMMYFUNCTION("""COMPUTED_VALUE"""),"13. Medical Staff Total (complete six-monthly)")</f>
        <v>0</v>
      </c>
      <c r="B27">
        <f>IFERROR(5x</f>
        <v>0</v>
      </c>
      <c r="D27">
        <f>IFERROR(__xludf.DUMMYFUNCTION("""COMPUTED_VALUE"""),"13. Medical Staff Total (complete six-monthly)")</f>
        <v>0</v>
      </c>
      <c r="H27">
        <f>IFERROR(__xludf.DUMMYFUNCTION("""COMPUTED_VALUE"""),"select_multiple staffs")</f>
        <v>0</v>
      </c>
      <c r="M27">
        <f>IFERROR000</f>
        <v>0</v>
      </c>
    </row>
    <row r="28" spans="1:13">
      <c r="A28">
        <f>IFERROR(__xludf.DUMMYFUNCTION("""COMPUTED_VALUE"""),"14. Non-Medical Staff Total (complete six-monthly)")</f>
        <v>0</v>
      </c>
      <c r="B28">
        <f>IFERROR(7F</f>
        <v>0</v>
      </c>
      <c r="D28">
        <f>IFERROR(__xludf.DUMMYFUNCTION("""COMPUTED_VALUE"""),"14. Non-Medical Staff Total (complete six-monthly)")</f>
        <v>0</v>
      </c>
      <c r="H28">
        <f>IFERROR(__xludf.DUMMYFUNCTION("""COMPUTED_VALUE"""),"select_multiple non_medical or_other")</f>
        <v>0</v>
      </c>
      <c r="M28">
        <f>IFERROR000</f>
        <v>0</v>
      </c>
    </row>
    <row r="29" spans="1:13">
      <c r="A29">
        <f>IFERROR(__xludf.DUMMYFUNCTION("""COMPUTED_VALUE"""),"15. Admin Staff Total (complete six-monthly)")</f>
        <v>0</v>
      </c>
      <c r="B29">
        <f>IFERROR(5A</f>
        <v>0</v>
      </c>
      <c r="D29">
        <f>IFERROR(__xludf.DUMMYFUNCTION("""COMPUTED_VALUE"""),"15. Admin Staff Total (complete six-monthly)")</f>
        <v>0</v>
      </c>
      <c r="H29">
        <f>IFERROR(__xludf.DUMMYFUNCTION("""COMPUTED_VALUE"""),"select_multiple admin_staff or_other")</f>
        <v>0</v>
      </c>
      <c r="M29">
        <f>IFERROR000</f>
        <v>0</v>
      </c>
    </row>
    <row r="30" spans="1:13">
      <c r="A30">
        <f>IFERROR(__xludf.DUMMYFUNCTION("""COMPUTED_VALUE"""),"")</f>
        <v>0</v>
      </c>
      <c r="B30">
        <f>IFERROR00M</f>
        <v>0</v>
      </c>
      <c r="D30">
        <f>IFERROR(__xludf.DUMMYFUNCTION("""COMPUTED_VALUE"""),"")</f>
        <v>0</v>
      </c>
      <c r="H30">
        <f>IFERROR(__xludf.DUMMYFUNCTION("""COMPUTED_VALUE"""),"end_group")</f>
        <v>0</v>
      </c>
      <c r="M30">
        <f>IFERROR000</f>
        <v>0</v>
      </c>
    </row>
    <row r="31" spans="1:13">
      <c r="A31">
        <f>IFERROR(__xludf.DUMMYFUNCTION("""COMPUTED_VALUE"""),"Section 1. General Management")</f>
        <v>0</v>
      </c>
      <c r="B31">
        <f>IFERROR(2I</f>
        <v>0</v>
      </c>
      <c r="D31">
        <f>IFERROR(__xludf.DUMMYFUNCTION("""COMPUTED_VALUE"""),"Section 1. General Management")</f>
        <v>0</v>
      </c>
      <c r="H31">
        <f>IFERROR(__xludf.DUMMYFUNCTION("""COMPUTED_VALUE"""),"begin_group")</f>
        <v>0</v>
      </c>
      <c r="M31">
        <f>IFERROR000</f>
        <v>0</v>
      </c>
    </row>
    <row r="32" spans="1:13">
      <c r="A32">
        <f>IFERROR(__xludf.DUMMYFUNCTION("""COMPUTED_VALUE"""),"1. General Hospital RBF Committee Facility Management Committee meets once per month.  ")</f>
        <v>0</v>
      </c>
      <c r="B32">
        <f>IFERROR(2J</f>
        <v>0</v>
      </c>
      <c r="D32">
        <f>IFERROR(__xludf.DUMMYFUNCTION("""COMPUTED_VALUE"""),"1. General Hospital RBF Committee Facility Management Committee meets once per month.  ")</f>
        <v>0</v>
      </c>
      <c r="H32">
        <f>IFERROR(__xludf.DUMMYFUNCTION("""COMPUTED_VALUE"""),"select_one yes4p5_no0")</f>
        <v>0</v>
      </c>
      <c r="M32">
        <f>IFERROR(00</f>
        <v>0</v>
      </c>
    </row>
    <row r="33" spans="1:13">
      <c r="A33">
        <f>IFERROR(__xludf.DUMMYFUNCTION("""COMPUTED_VALUE"""),"1.1 Proper filing system")</f>
        <v>0</v>
      </c>
      <c r="B33">
        <f>IFERROR(6Z</f>
        <v>0</v>
      </c>
      <c r="D33">
        <f>IFERROR(__xludf.DUMMYFUNCTION("""COMPUTED_VALUE"""),"1.1 Proper filing system")</f>
        <v>0</v>
      </c>
      <c r="H33">
        <f>IFERROR(__xludf.DUMMYFUNCTION("""COMPUTED_VALUE"""),"begin_group")</f>
        <v>0</v>
      </c>
      <c r="M33">
        <f>IFERROR(00</f>
        <v>0</v>
      </c>
    </row>
    <row r="34" spans="1:13">
      <c r="A34">
        <f>IFERROR(__xludf.DUMMYFUNCTION("""COMPUTED_VALUE"""),"2. Documents in a filing cabinet/shelf/cupboard and accessible by the officer on duty (except individual staff files)")</f>
        <v>0</v>
      </c>
      <c r="B34">
        <f>IFERROR(4K</f>
        <v>0</v>
      </c>
      <c r="D34">
        <f>IFERROR(__xludf.DUMMYFUNCTION("""COMPUTED_VALUE"""),"2. Documents in a filing cabinet/shelf/cupboard and accessible by the officer on duty (except individual staff files)")</f>
        <v>0</v>
      </c>
      <c r="H34">
        <f>IFERROR(__xludf.DUMMYFUNCTION("""COMPUTED_VALUE"""),"select_one yes_no")</f>
        <v>0</v>
      </c>
      <c r="M34">
        <f>IFERROR000</f>
        <v>0</v>
      </c>
    </row>
    <row r="35" spans="1:13">
      <c r="A35">
        <f>IFERROR(__xludf.DUMMYFUNCTION("""COMPUTED_VALUE"""),"3. Minimum documents to be filed include: (i) Monthly HMIS reports; (ii) Weekly surveillance reports; (iii) approved business plans; (iv) minutes of meetings; (v) patient cards (OPD; ANC; Partopgrahs; Family Planning and 'bed head tickets'); (vi) individu"&amp;"al staff files.")</f>
        <v>0</v>
      </c>
      <c r="B35">
        <f>IFERROR(8B</f>
        <v>0</v>
      </c>
      <c r="D35">
        <f>IFERROR(__xludf.DUMMYFUNCTION("""COMPUTED_VALUE"""),"3. Minimum documents to be filed include: (i) Monthly HMIS reports; (ii) Weekly surveillance reports; (iii) approved business plans; (iv) minutes of meetings; (v) patient cards (OPD; ANC; Partopgrahs; Family Planning and 'bed head tickets'); (vi) individu"&amp;"al staff files.")</f>
        <v>0</v>
      </c>
      <c r="H35">
        <f>IFERROR(__xludf.DUMMYFUNCTION("""COMPUTED_VALUE"""),"select_one yes_no")</f>
        <v>0</v>
      </c>
      <c r="M35">
        <f>IFERROR000</f>
        <v>0</v>
      </c>
    </row>
    <row r="36" spans="1:13">
      <c r="A36">
        <f>IFERROR(__xludf.DUMMYFUNCTION("""COMPUTED_VALUE"""),"4. Does the health facility use unique registration system for patient")</f>
        <v>0</v>
      </c>
      <c r="B36">
        <f>IFERROR(0v</f>
        <v>0</v>
      </c>
      <c r="D36">
        <f>IFERROR(__xludf.DUMMYFUNCTION("""COMPUTED_VALUE"""),"4. Does the health facility use unique registration system for patient")</f>
        <v>0</v>
      </c>
      <c r="H36">
        <f>IFERROR(__xludf.DUMMYFUNCTION("""COMPUTED_VALUE"""),"select_one yes_no")</f>
        <v>0</v>
      </c>
      <c r="M36">
        <f>IFERROR000</f>
        <v>0</v>
      </c>
    </row>
    <row r="37" spans="1:13">
      <c r="A37">
        <f>IFERROR(__xludf.DUMMYFUNCTION("""COMPUTED_VALUE"""),"")</f>
        <v>0</v>
      </c>
      <c r="B37">
        <f>IFERROR(8I</f>
        <v>0</v>
      </c>
      <c r="D37">
        <f>IFERROR(__xludf.DUMMYFUNCTION("""COMPUTED_VALUE"""),"")</f>
        <v>0</v>
      </c>
      <c r="H37">
        <f>IFERROR(__xludf.DUMMYFUNCTION("""COMPUTED_VALUE"""),"calculate")</f>
        <v>0</v>
      </c>
      <c r="M37">
        <f>IFERROR000</f>
        <v>0</v>
      </c>
    </row>
    <row r="38" spans="1:13">
      <c r="A38">
        <f>IFERROR(__xludf.DUMMYFUNCTION("""COMPUTED_VALUE"""),"")</f>
        <v>0</v>
      </c>
      <c r="B38">
        <f>IFERROR07t</f>
        <v>0</v>
      </c>
      <c r="D38">
        <f>IFERROR(__xludf.DUMMYFUNCTION("""COMPUTED_VALUE"""),"")</f>
        <v>0</v>
      </c>
      <c r="H38">
        <f>IFERROR(__xludf.DUMMYFUNCTION("""COMPUTED_VALUE"""),"end_group")</f>
        <v>0</v>
      </c>
      <c r="M38">
        <f>IFERROR000</f>
        <v>0</v>
      </c>
    </row>
    <row r="39" spans="1:13">
      <c r="A39">
        <f>IFERROR(__xludf.DUMMYFUNCTION("""COMPUTED_VALUE"""),"5. Staff duty roster (with phone number of each staff on duty) available and well displayed up to date for current month and visible for staff and patients to see")</f>
        <v>0</v>
      </c>
      <c r="B39">
        <f>IFERROR(5p</f>
        <v>0</v>
      </c>
      <c r="D39">
        <f>IFERROR(__xludf.DUMMYFUNCTION("""COMPUTED_VALUE"""),"5. Staff duty roster (with phone number of each staff on duty) available and well displayed up to date for current month and visible for staff and patients to see")</f>
        <v>0</v>
      </c>
      <c r="H39">
        <f>IFERROR(__xludf.DUMMYFUNCTION("""COMPUTED_VALUE"""),"select_one yes1_no0")</f>
        <v>0</v>
      </c>
      <c r="M39">
        <f>IFERROR000</f>
        <v>0</v>
      </c>
    </row>
    <row r="40" spans="1:13">
      <c r="A40">
        <f>IFERROR(__xludf.DUMMYFUNCTION("""COMPUTED_VALUE"""),"6. Management Team (HODs) Meetings conducted Monthly and minutes available. ")</f>
        <v>0</v>
      </c>
      <c r="B40">
        <f>IFERROR(1X</f>
        <v>0</v>
      </c>
      <c r="D40">
        <f>IFERROR(__xludf.DUMMYFUNCTION("""COMPUTED_VALUE"""),"6. Management Team (HODs) Meetings conducted Monthly and minutes available. ")</f>
        <v>0</v>
      </c>
      <c r="H40">
        <f>IFERROR(__xludf.DUMMYFUNCTION("""COMPUTED_VALUE"""),"select_one yes4p5_no0")</f>
        <v>0</v>
      </c>
      <c r="M40">
        <f>IFERROR000</f>
        <v>0</v>
      </c>
    </row>
    <row r="41" spans="1:13">
      <c r="A41">
        <f>IFERROR(__xludf.DUMMYFUNCTION("""COMPUTED_VALUE"""),"7. Each monthly minutes contains at least:
 i) date of the meeting
(ii) agenda
(iii) signed list of participants
(iv) follow-up of decisions taken during the previous meeting
(v) in each issue section there is a description of the problem
(vi) in each iss"&amp;"ue section there is a list of developed recommendations or decisions taken
(vii) in each issue section there is a deadline to solve the issue
(viii) in each issue section there is a responsible named
(i) each month the monthly financial balance is discuss"&amp;"ed
(x) minutes of the meeting are signed by the chairman ")</f>
        <v>0</v>
      </c>
      <c r="B41">
        <f>IFERROR(3d</f>
        <v>0</v>
      </c>
      <c r="D41">
        <f>IFERROR(__xludf.DUMMYFUNCTION("""COMPUTED_VALUE"""),"7. Each monthly minutes contains at least:
 i) date of the meeting
(ii) agenda
(iii) signed list of participants
(iv) follow-up of decisions taken during the previous meeting
(v) in each issue section there is a description of the problem
(vi) in each iss"&amp;"ue section there is a list of developed recommendations or decisions taken
(vii) in each issue section there is a deadline to solve the issue
(viii) in each issue section there is a responsible named
(i) each month the monthly financial balance is discuss"&amp;"ed
(x) minutes of the meeting are signed by the chairman ")</f>
        <v>0</v>
      </c>
      <c r="H41">
        <f>IFERROR(__xludf.DUMMYFUNCTION("""COMPUTED_VALUE"""),"select_one yes4p5_no0")</f>
        <v>0</v>
      </c>
      <c r="M41">
        <f>IFERROR000</f>
        <v>0</v>
      </c>
    </row>
    <row r="42" spans="1:13">
      <c r="A42">
        <f>IFERROR(__xludf.DUMMYFUNCTION("""COMPUTED_VALUE"""),"8. Availability of a dedicated mobile phone for communication between General Hospital, and health centers &amp; Tertiary Institutions/Facilities")</f>
        <v>0</v>
      </c>
      <c r="B42">
        <f>IFERROR(8S</f>
        <v>0</v>
      </c>
      <c r="D42">
        <f>IFERROR(__xludf.DUMMYFUNCTION("""COMPUTED_VALUE"""),"8. Availability of a dedicated mobile phone for communication between General Hospital, and health centers &amp; Tertiary Institutions/Facilities")</f>
        <v>0</v>
      </c>
      <c r="H42">
        <f>IFERROR(__xludf.DUMMYFUNCTION("""COMPUTED_VALUE"""),"select_one yes1_no0")</f>
        <v>0</v>
      </c>
      <c r="M42">
        <f>IFERROR(00</f>
        <v>0</v>
      </c>
    </row>
    <row r="43" spans="1:13">
      <c r="A43">
        <f>IFERROR(__xludf.DUMMYFUNCTION("""COMPUTED_VALUE"""),"9. HMIS reports are filled, updated and transmitted to the HSMB/SMOH")</f>
        <v>0</v>
      </c>
      <c r="B43">
        <f>IFERROR(1g</f>
        <v>0</v>
      </c>
      <c r="D43">
        <f>IFERROR(__xludf.DUMMYFUNCTION("""COMPUTED_VALUE"""),"9. HMIS reports are filled, updated and transmitted to the HSMB/SMOH")</f>
        <v>0</v>
      </c>
      <c r="H43">
        <f>IFERROR(__xludf.DUMMYFUNCTION("""COMPUTED_VALUE"""),"select_one yes2_no0")</f>
        <v>0</v>
      </c>
      <c r="M43">
        <f>IFERROR(00</f>
        <v>0</v>
      </c>
    </row>
    <row r="44" spans="1:13">
      <c r="A44">
        <f>IFERROR(__xludf.DUMMYFUNCTION("""COMPUTED_VALUE"""),"10. HMIS data analysis report for the quarter being assessed concerning priority problems")</f>
        <v>0</v>
      </c>
      <c r="B44">
        <f>IFERROR(2s</f>
        <v>0</v>
      </c>
      <c r="D44">
        <f>IFERROR(__xludf.DUMMYFUNCTION("""COMPUTED_VALUE"""),"10. HMIS data analysis report for the quarter being assessed concerning priority problems")</f>
        <v>0</v>
      </c>
      <c r="H44">
        <f>IFERROR(__xludf.DUMMYFUNCTION("""COMPUTED_VALUE"""),"select_one yes6_no0")</f>
        <v>0</v>
      </c>
      <c r="M44">
        <f>IFERROR(00</f>
        <v>0</v>
      </c>
    </row>
    <row r="45" spans="1:13">
      <c r="A45">
        <f>IFERROR(__xludf.DUMMYFUNCTION("""COMPUTED_VALUE"""),"11. Ambulance available and functional")</f>
        <v>0</v>
      </c>
      <c r="B45">
        <f>IFERROR(5m</f>
        <v>0</v>
      </c>
      <c r="D45">
        <f>IFERROR(__xludf.DUMMYFUNCTION("""COMPUTED_VALUE"""),"11. Ambulance available and functional")</f>
        <v>0</v>
      </c>
      <c r="H45">
        <f>IFERROR(__xludf.DUMMYFUNCTION("""COMPUTED_VALUE"""),"select_one yes4_no0")</f>
        <v>0</v>
      </c>
      <c r="M45">
        <f>IFERROR(00</f>
        <v>0</v>
      </c>
    </row>
    <row r="46" spans="1:13">
      <c r="A46">
        <f>IFERROR(__xludf.DUMMYFUNCTION("""COMPUTED_VALUE"""),"12. Availability of a room for a mortuary: (check-ins/outs mortuary registers), one strecher and one table")</f>
        <v>0</v>
      </c>
      <c r="B46">
        <f>IFERROR(5K</f>
        <v>0</v>
      </c>
      <c r="D46">
        <f>IFERROR(__xludf.DUMMYFUNCTION("""COMPUTED_VALUE"""),"12. Availability of a room for a mortuary: (check-ins/outs mortuary registers), one strecher and one table")</f>
        <v>0</v>
      </c>
      <c r="H46">
        <f>IFERROR(__xludf.DUMMYFUNCTION("""COMPUTED_VALUE"""),"select_one yes1_no0")</f>
        <v>0</v>
      </c>
      <c r="M46">
        <f>IFERROR(00</f>
        <v>0</v>
      </c>
    </row>
    <row r="47" spans="1:13">
      <c r="A47">
        <f>IFERROR(__xludf.DUMMYFUNCTION("""COMPUTED_VALUE"""),"13. Availability of a kitchen for inpatients/special diatery patient/growth monitoring demonstration.")</f>
        <v>0</v>
      </c>
      <c r="B47">
        <f>IFERROR(5o</f>
        <v>0</v>
      </c>
      <c r="D47">
        <f>IFERROR(__xludf.DUMMYFUNCTION("""COMPUTED_VALUE"""),"13. Availability of a kitchen for inpatients/special diatery patient/growth monitoring demonstration.")</f>
        <v>0</v>
      </c>
      <c r="H47">
        <f>IFERROR(__xludf.DUMMYFUNCTION("""COMPUTED_VALUE"""),"select_one yes_no")</f>
        <v>0</v>
      </c>
      <c r="M47">
        <f>IFERROR000</f>
        <v>0</v>
      </c>
    </row>
    <row r="48" spans="1:13">
      <c r="A48">
        <f>IFERROR(__xludf.DUMMYFUNCTION("""COMPUTED_VALUE"""),"1.1 Key comments")</f>
        <v>0</v>
      </c>
      <c r="B48">
        <f>IFERROR(4s</f>
        <v>0</v>
      </c>
      <c r="D48">
        <f>IFERROR(__xludf.DUMMYFUNCTION("""COMPUTED_VALUE"""),"1.1 Key comments")</f>
        <v>0</v>
      </c>
      <c r="H48">
        <f>IFERROR(__xludf.DUMMYFUNCTION("""COMPUTED_VALUE"""),"text")</f>
        <v>0</v>
      </c>
      <c r="M48">
        <f>IFERROR000</f>
        <v>0</v>
      </c>
    </row>
    <row r="49" spans="1:13">
      <c r="A49">
        <f>IFERROR(__xludf.DUMMYFUNCTION("""COMPUTED_VALUE"""),"1.1 Action Plan")</f>
        <v>0</v>
      </c>
      <c r="B49">
        <f>IFERROR(5H</f>
        <v>0</v>
      </c>
      <c r="D49">
        <f>IFERROR(__xludf.DUMMYFUNCTION("""COMPUTED_VALUE"""),"1.1 Action Plan")</f>
        <v>0</v>
      </c>
      <c r="H49">
        <f>IFERROR(__xludf.DUMMYFUNCTION("""COMPUTED_VALUE"""),"text")</f>
        <v>0</v>
      </c>
      <c r="M49">
        <f>IFERROR000</f>
        <v>0</v>
      </c>
    </row>
    <row r="50" spans="1:13">
      <c r="A50">
        <f>IFERROR(__xludf.DUMMYFUNCTION("""COMPUTED_VALUE"""),"")</f>
        <v>0</v>
      </c>
      <c r="B50">
        <f>IFERROR(1u</f>
        <v>0</v>
      </c>
      <c r="D50">
        <f>IFERROR(__xludf.DUMMYFUNCTION("""COMPUTED_VALUE"""),"")</f>
        <v>0</v>
      </c>
      <c r="H50">
        <f>IFERROR(__xludf.DUMMYFUNCTION("""COMPUTED_VALUE"""),"calculate")</f>
        <v>0</v>
      </c>
      <c r="M50">
        <f>IFERROR000</f>
        <v>0</v>
      </c>
    </row>
    <row r="51" spans="1:13">
      <c r="A51">
        <f>IFERROR(__xludf.DUMMYFUNCTION("""COMPUTED_VALUE"""),"1.2 Administration")</f>
        <v>0</v>
      </c>
      <c r="B51">
        <f>IFERROR(9p</f>
        <v>0</v>
      </c>
      <c r="D51">
        <f>IFERROR(__xludf.DUMMYFUNCTION("""COMPUTED_VALUE"""),"1.2 Administration")</f>
        <v>0</v>
      </c>
      <c r="H51">
        <f>IFERROR(__xludf.DUMMYFUNCTION("""COMPUTED_VALUE"""),"begin_group")</f>
        <v>0</v>
      </c>
      <c r="M51">
        <f>IFERROR000</f>
        <v>0</v>
      </c>
    </row>
    <row r="52" spans="1:13">
      <c r="A52">
        <f>IFERROR(__xludf.DUMMYFUNCTION("""COMPUTED_VALUE"""),"14. Is there a hospital organogram? (Verify)")</f>
        <v>0</v>
      </c>
      <c r="B52">
        <f>IFERROR(0M</f>
        <v>0</v>
      </c>
      <c r="D52">
        <f>IFERROR(__xludf.DUMMYFUNCTION("""COMPUTED_VALUE"""),"14. Is there a hospital organogram? (Verify)")</f>
        <v>0</v>
      </c>
      <c r="H52">
        <f>IFERROR(__xludf.DUMMYFUNCTION("""COMPUTED_VALUE"""),"select_one yes1_no0")</f>
        <v>0</v>
      </c>
      <c r="M52">
        <f>IFERROR000</f>
        <v>0</v>
      </c>
    </row>
    <row r="53" spans="1:13">
      <c r="A53">
        <f>IFERROR(__xludf.DUMMYFUNCTION("""COMPUTED_VALUE"""),"15. Do you have updated Nominal roll?")</f>
        <v>0</v>
      </c>
      <c r="B53">
        <f>IFERROR(8x</f>
        <v>0</v>
      </c>
      <c r="D53">
        <f>IFERROR(__xludf.DUMMYFUNCTION("""COMPUTED_VALUE"""),"15. Do you have updated Nominal roll?")</f>
        <v>0</v>
      </c>
      <c r="H53">
        <f>IFERROR(__xludf.DUMMYFUNCTION("""COMPUTED_VALUE"""),"select_one yes1_no0")</f>
        <v>0</v>
      </c>
      <c r="M53">
        <f>IFERROR000</f>
        <v>0</v>
      </c>
    </row>
    <row r="54" spans="1:13">
      <c r="A54">
        <f>IFERROR(__xludf.DUMMYFUNCTION("""COMPUTED_VALUE"""),"16. Do you have a work schedule for staff?(Verify)")</f>
        <v>0</v>
      </c>
      <c r="B54">
        <f>IFERROR(7F</f>
        <v>0</v>
      </c>
      <c r="D54">
        <f>IFERROR(__xludf.DUMMYFUNCTION("""COMPUTED_VALUE"""),"16. Do you have a work schedule for staff?(Verify)")</f>
        <v>0</v>
      </c>
      <c r="H54">
        <f>IFERROR(__xludf.DUMMYFUNCTION("""COMPUTED_VALUE"""),"select_one yes1_no0")</f>
        <v>0</v>
      </c>
      <c r="M54">
        <f>IFERROR000</f>
        <v>0</v>
      </c>
    </row>
    <row r="55" spans="1:13">
      <c r="A55">
        <f>IFERROR(__xludf.DUMMYFUNCTION("""COMPUTED_VALUE"""),"17. Do you have an annual work plan? (Verify)")</f>
        <v>0</v>
      </c>
      <c r="B55">
        <f>IFERROR(9p</f>
        <v>0</v>
      </c>
      <c r="D55">
        <f>IFERROR(__xludf.DUMMYFUNCTION("""COMPUTED_VALUE"""),"17. Do you have an annual work plan? (Verify)")</f>
        <v>0</v>
      </c>
      <c r="H55">
        <f>IFERROR(__xludf.DUMMYFUNCTION("""COMPUTED_VALUE"""),"select_one yes1_no0")</f>
        <v>0</v>
      </c>
      <c r="M55">
        <f>IFERROR000</f>
        <v>0</v>
      </c>
    </row>
    <row r="56" spans="1:13">
      <c r="A56">
        <f>IFERROR(__xludf.DUMMYFUNCTION("""COMPUTED_VALUE"""),"18. Do you have a displayed duty roster with telephone contacts? (Verify)")</f>
        <v>0</v>
      </c>
      <c r="B56">
        <f>IFERROR(4p</f>
        <v>0</v>
      </c>
      <c r="D56">
        <f>IFERROR(__xludf.DUMMYFUNCTION("""COMPUTED_VALUE"""),"18. Do you have a displayed duty roster with telephone contacts? (Verify)")</f>
        <v>0</v>
      </c>
      <c r="H56">
        <f>IFERROR(__xludf.DUMMYFUNCTION("""COMPUTED_VALUE"""),"select_one yes1_no0")</f>
        <v>0</v>
      </c>
      <c r="M56">
        <f>IFERROR000</f>
        <v>0</v>
      </c>
    </row>
    <row r="57" spans="1:13">
      <c r="A57">
        <f>IFERROR(__xludf.DUMMYFUNCTION("""COMPUTED_VALUE"""),"19. Do you have activity report? (Verify)")</f>
        <v>0</v>
      </c>
      <c r="B57">
        <f>IFERROR(9o</f>
        <v>0</v>
      </c>
      <c r="D57">
        <f>IFERROR(__xludf.DUMMYFUNCTION("""COMPUTED_VALUE"""),"19. Do you have activity report? (Verify)")</f>
        <v>0</v>
      </c>
      <c r="H57">
        <f>IFERROR(__xludf.DUMMYFUNCTION("""COMPUTED_VALUE"""),"select_one yes1_no0")</f>
        <v>0</v>
      </c>
      <c r="M57">
        <f>IFERROR000</f>
        <v>0</v>
      </c>
    </row>
    <row r="58" spans="1:13">
      <c r="A58">
        <f>IFERROR(__xludf.DUMMYFUNCTION("""COMPUTED_VALUE"""),"20. Is there an up-to-date register for staff movement? (Verify in departments)")</f>
        <v>0</v>
      </c>
      <c r="B58">
        <f>IFERROR(9o</f>
        <v>0</v>
      </c>
      <c r="D58">
        <f>IFERROR(__xludf.DUMMYFUNCTION("""COMPUTED_VALUE"""),"20. Is there an up-to-date register for staff movement? (Verify in departments)")</f>
        <v>0</v>
      </c>
      <c r="H58">
        <f>IFERROR(__xludf.DUMMYFUNCTION("""COMPUTED_VALUE"""),"select_one yes1_no0")</f>
        <v>0</v>
      </c>
      <c r="M58">
        <f>IFERROR000</f>
        <v>0</v>
      </c>
    </row>
    <row r="59" spans="1:13">
      <c r="A59">
        <f>IFERROR(__xludf.DUMMYFUNCTION("""COMPUTED_VALUE"""),"21. Is there a leave roster for the Hospital?")</f>
        <v>0</v>
      </c>
      <c r="B59">
        <f>IFERROR(6y</f>
        <v>0</v>
      </c>
      <c r="D59">
        <f>IFERROR(__xludf.DUMMYFUNCTION("""COMPUTED_VALUE"""),"21. Is there a leave roster for the Hospital?")</f>
        <v>0</v>
      </c>
      <c r="H59">
        <f>IFERROR(__xludf.DUMMYFUNCTION("""COMPUTED_VALUE"""),"select_one yes1_no0")</f>
        <v>0</v>
      </c>
      <c r="M59">
        <f>IFERROR000</f>
        <v>0</v>
      </c>
    </row>
    <row r="60" spans="1:13">
      <c r="A60">
        <f>IFERROR(__xludf.DUMMYFUNCTION("""COMPUTED_VALUE"""),"22. Is there a staff attendance register for monitoring staff attendance, lateness &amp; absenteeism? (observe)")</f>
        <v>0</v>
      </c>
      <c r="B60">
        <f>IFERROR(1f</f>
        <v>0</v>
      </c>
      <c r="D60">
        <f>IFERROR(__xludf.DUMMYFUNCTION("""COMPUTED_VALUE"""),"22. Is there a staff attendance register for monitoring staff attendance, lateness &amp; absenteeism? (observe)")</f>
        <v>0</v>
      </c>
      <c r="H60">
        <f>IFERROR(__xludf.DUMMYFUNCTION("""COMPUTED_VALUE"""),"select_one yes1_no0")</f>
        <v>0</v>
      </c>
      <c r="M60">
        <f>IFERROR000</f>
        <v>0</v>
      </c>
    </row>
    <row r="61" spans="1:13">
      <c r="A61">
        <f>IFERROR(__xludf.DUMMYFUNCTION("""COMPUTED_VALUE"""),"23. Are there monthly management meetings of staff? (verify with report or minutes of last three meetings)")</f>
        <v>0</v>
      </c>
      <c r="B61">
        <f>IFERROR(5V</f>
        <v>0</v>
      </c>
      <c r="D61">
        <f>IFERROR(__xludf.DUMMYFUNCTION("""COMPUTED_VALUE"""),"23. Are there monthly management meetings of staff? (verify with report or minutes of last three meetings)")</f>
        <v>0</v>
      </c>
      <c r="H61">
        <f>IFERROR(__xludf.DUMMYFUNCTION("""COMPUTED_VALUE"""),"select_one yes1_no0")</f>
        <v>0</v>
      </c>
      <c r="M61">
        <f>IFERROR000</f>
        <v>0</v>
      </c>
    </row>
    <row r="62" spans="1:13">
      <c r="A62">
        <f>IFERROR(__xludf.DUMMYFUNCTION("""COMPUTED_VALUE"""),"24. Do members of the MOH attend these management meetings?")</f>
        <v>0</v>
      </c>
      <c r="B62">
        <f>IFERROR(0n</f>
        <v>0</v>
      </c>
      <c r="D62">
        <f>IFERROR(__xludf.DUMMYFUNCTION("""COMPUTED_VALUE"""),"24. Do members of the MOH attend these management meetings?")</f>
        <v>0</v>
      </c>
      <c r="H62">
        <f>IFERROR(__xludf.DUMMYFUNCTION("""COMPUTED_VALUE"""),"select_one yes1_no0")</f>
        <v>0</v>
      </c>
      <c r="M62">
        <f>IFERROR000</f>
        <v>0</v>
      </c>
    </row>
    <row r="63" spans="1:13">
      <c r="A63">
        <f>IFERROR(__xludf.DUMMYFUNCTION("""COMPUTED_VALUE"""),"25. Do you have free maternal and child services?")</f>
        <v>0</v>
      </c>
      <c r="B63">
        <f>IFERROR(0r</f>
        <v>0</v>
      </c>
      <c r="D63">
        <f>IFERROR(__xludf.DUMMYFUNCTION("""COMPUTED_VALUE"""),"25. Do you have free maternal and child services?")</f>
        <v>0</v>
      </c>
      <c r="H63">
        <f>IFERROR(__xludf.DUMMYFUNCTION("""COMPUTED_VALUE"""),"select_one yes1_no0")</f>
        <v>0</v>
      </c>
      <c r="M63">
        <f>IFERROR000</f>
        <v>0</v>
      </c>
    </row>
    <row r="64" spans="1:13">
      <c r="A64">
        <f>IFERROR(__xludf.DUMMYFUNCTION("""COMPUTED_VALUE"""),"26. Does the facility provide 24 hour service?")</f>
        <v>0</v>
      </c>
      <c r="B64">
        <f>IFERROR(9Q</f>
        <v>0</v>
      </c>
      <c r="D64">
        <f>IFERROR(__xludf.DUMMYFUNCTION("""COMPUTED_VALUE"""),"26. Does the facility provide 24 hour service?")</f>
        <v>0</v>
      </c>
      <c r="H64">
        <f>IFERROR(__xludf.DUMMYFUNCTION("""COMPUTED_VALUE"""),"select_one yes1_no0")</f>
        <v>0</v>
      </c>
      <c r="M64">
        <f>IFERROR000</f>
        <v>0</v>
      </c>
    </row>
    <row r="65" spans="1:13">
      <c r="A65">
        <f>IFERROR(__xludf.DUMMYFUNCTION("""COMPUTED_VALUE"""),"27. When was the last ISS visit conducted?")</f>
        <v>0</v>
      </c>
      <c r="B65">
        <f>IFERROR(6i</f>
        <v>0</v>
      </c>
      <c r="D65">
        <f>IFERROR(__xludf.DUMMYFUNCTION("""COMPUTED_VALUE"""),"27. When was the last ISS visit conducted?")</f>
        <v>0</v>
      </c>
      <c r="H65">
        <f>IFERROR(__xludf.DUMMYFUNCTION("""COMPUTED_VALUE"""),"text")</f>
        <v>0</v>
      </c>
      <c r="M65">
        <f>IFERROR000</f>
        <v>0</v>
      </c>
    </row>
    <row r="66" spans="1:13">
      <c r="A66">
        <f>IFERROR(__xludf.DUMMYFUNCTION("""COMPUTED_VALUE"""),"28. Do you receive monthly supervisory visits from the State?")</f>
        <v>0</v>
      </c>
      <c r="B66">
        <f>IFERROR(0q</f>
        <v>0</v>
      </c>
      <c r="D66">
        <f>IFERROR(__xludf.DUMMYFUNCTION("""COMPUTED_VALUE"""),"28. Do you receive monthly supervisory visits from the State?")</f>
        <v>0</v>
      </c>
      <c r="H66">
        <f>IFERROR(__xludf.DUMMYFUNCTION("""COMPUTED_VALUE"""),"select_one yes1_no0")</f>
        <v>0</v>
      </c>
      <c r="M66">
        <f>IFERROR000</f>
        <v>0</v>
      </c>
    </row>
    <row r="67" spans="1:13">
      <c r="A67">
        <f>IFERROR(__xludf.DUMMYFUNCTION("""COMPUTED_VALUE"""),"29. Are supportive follow up plans implemented?")</f>
        <v>0</v>
      </c>
      <c r="B67">
        <f>IFERROR(2c</f>
        <v>0</v>
      </c>
      <c r="D67">
        <f>IFERROR(__xludf.DUMMYFUNCTION("""COMPUTED_VALUE"""),"29. Are supportive follow up plans implemented?")</f>
        <v>0</v>
      </c>
      <c r="H67">
        <f>IFERROR(__xludf.DUMMYFUNCTION("""COMPUTED_VALUE"""),"select_one yes1_no0")</f>
        <v>0</v>
      </c>
      <c r="M67">
        <f>IFERROR000</f>
        <v>0</v>
      </c>
    </row>
    <row r="68" spans="1:13">
      <c r="A68">
        <f>IFERROR(__xludf.DUMMYFUNCTION("""COMPUTED_VALUE"""),"30. Are copies of supervisory visits reports available?")</f>
        <v>0</v>
      </c>
      <c r="B68">
        <f>IFERROR(5z</f>
        <v>0</v>
      </c>
      <c r="D68">
        <f>IFERROR(__xludf.DUMMYFUNCTION("""COMPUTED_VALUE"""),"30. Are copies of supervisory visits reports available?")</f>
        <v>0</v>
      </c>
      <c r="H68">
        <f>IFERROR(__xludf.DUMMYFUNCTION("""COMPUTED_VALUE"""),"select_one yes1_no0")</f>
        <v>0</v>
      </c>
      <c r="M68">
        <f>IFERROR000</f>
        <v>0</v>
      </c>
    </row>
    <row r="69" spans="1:13">
      <c r="A69">
        <f>IFERROR(__xludf.DUMMYFUNCTION("""COMPUTED_VALUE"""),"31. Is there a list of Hosptitals for referral")</f>
        <v>0</v>
      </c>
      <c r="B69">
        <f>IFERROR(5I</f>
        <v>0</v>
      </c>
      <c r="D69">
        <f>IFERROR(__xludf.DUMMYFUNCTION("""COMPUTED_VALUE"""),"31. Is there a list of Hosptitals for referral")</f>
        <v>0</v>
      </c>
      <c r="H69">
        <f>IFERROR(__xludf.DUMMYFUNCTION("""COMPUTED_VALUE"""),"select_one yes1_no0")</f>
        <v>0</v>
      </c>
      <c r="M69">
        <f>IFERROR000</f>
        <v>0</v>
      </c>
    </row>
    <row r="70" spans="1:13">
      <c r="A70">
        <f>IFERROR(__xludf.DUMMYFUNCTION("""COMPUTED_VALUE"""),"32. Is there a list of telephone contacts for referral?")</f>
        <v>0</v>
      </c>
      <c r="B70">
        <f>IFERROR(8N</f>
        <v>0</v>
      </c>
      <c r="D70">
        <f>IFERROR(__xludf.DUMMYFUNCTION("""COMPUTED_VALUE"""),"32. Is there a list of telephone contacts for referral?")</f>
        <v>0</v>
      </c>
      <c r="H70">
        <f>IFERROR(__xludf.DUMMYFUNCTION("""COMPUTED_VALUE"""),"select_one yes1_no0")</f>
        <v>0</v>
      </c>
      <c r="M70">
        <f>IFERROR000</f>
        <v>0</v>
      </c>
    </row>
    <row r="71" spans="1:13">
      <c r="A71">
        <f>IFERROR(__xludf.DUMMYFUNCTION("""COMPUTED_VALUE"""),"33. Is there a functional ambulance service?")</f>
        <v>0</v>
      </c>
      <c r="B71">
        <f>IFERROR(2I</f>
        <v>0</v>
      </c>
      <c r="D71">
        <f>IFERROR(__xludf.DUMMYFUNCTION("""COMPUTED_VALUE"""),"33. Is there a functional ambulance service?")</f>
        <v>0</v>
      </c>
      <c r="H71">
        <f>IFERROR(__xludf.DUMMYFUNCTION("""COMPUTED_VALUE"""),"select_one yes1_no0")</f>
        <v>0</v>
      </c>
      <c r="M71">
        <f>IFERROR000</f>
        <v>0</v>
      </c>
    </row>
    <row r="72" spans="1:13">
      <c r="A72">
        <f>IFERROR(__xludf.DUMMYFUNCTION("""COMPUTED_VALUE"""),"34. Are emergency telephone numbers conspicuously displayed?")</f>
        <v>0</v>
      </c>
      <c r="B72">
        <f>IFERROR(4y</f>
        <v>0</v>
      </c>
      <c r="D72">
        <f>IFERROR(__xludf.DUMMYFUNCTION("""COMPUTED_VALUE"""),"34. Are emergency telephone numbers conspicuously displayed?")</f>
        <v>0</v>
      </c>
      <c r="H72">
        <f>IFERROR(__xludf.DUMMYFUNCTION("""COMPUTED_VALUE"""),"select_one yes1_no0")</f>
        <v>0</v>
      </c>
      <c r="M72">
        <f>IFERROR000</f>
        <v>0</v>
      </c>
    </row>
    <row r="73" spans="1:13">
      <c r="A73">
        <f>IFERROR(__xludf.DUMMYFUNCTION("""COMPUTED_VALUE"""),"1.2 Key comments")</f>
        <v>0</v>
      </c>
      <c r="B73">
        <f>IFERROR(9n</f>
        <v>0</v>
      </c>
      <c r="D73">
        <f>IFERROR(__xludf.DUMMYFUNCTION("""COMPUTED_VALUE"""),"1.2 Key comments")</f>
        <v>0</v>
      </c>
      <c r="H73">
        <f>IFERROR(__xludf.DUMMYFUNCTION("""COMPUTED_VALUE"""),"text")</f>
        <v>0</v>
      </c>
      <c r="M73">
        <f>IFERROR000</f>
        <v>0</v>
      </c>
    </row>
    <row r="74" spans="1:13">
      <c r="A74">
        <f>IFERROR(__xludf.DUMMYFUNCTION("""COMPUTED_VALUE"""),"1.2 Action Plan")</f>
        <v>0</v>
      </c>
      <c r="B74">
        <f>IFERROR(1n</f>
        <v>0</v>
      </c>
      <c r="D74">
        <f>IFERROR(__xludf.DUMMYFUNCTION("""COMPUTED_VALUE"""),"1.2 Action Plan")</f>
        <v>0</v>
      </c>
      <c r="H74">
        <f>IFERROR(__xludf.DUMMYFUNCTION("""COMPUTED_VALUE"""),"text")</f>
        <v>0</v>
      </c>
      <c r="M74">
        <f>IFERROR000</f>
        <v>0</v>
      </c>
    </row>
    <row r="75" spans="1:13">
      <c r="A75">
        <f>IFERROR(__xludf.DUMMYFUNCTION("""COMPUTED_VALUE"""),"")</f>
        <v>0</v>
      </c>
      <c r="B75">
        <f>IFERROR(7L</f>
        <v>0</v>
      </c>
      <c r="D75">
        <f>IFERROR(__xludf.DUMMYFUNCTION("""COMPUTED_VALUE"""),"")</f>
        <v>0</v>
      </c>
      <c r="H75">
        <f>IFERROR(__xludf.DUMMYFUNCTION("""COMPUTED_VALUE"""),"calculate")</f>
        <v>0</v>
      </c>
      <c r="M75">
        <f>IFERROR000</f>
        <v>0</v>
      </c>
    </row>
    <row r="76" spans="1:13">
      <c r="A76">
        <f>IFERROR(__xludf.DUMMYFUNCTION("""COMPUTED_VALUE"""),"")</f>
        <v>0</v>
      </c>
      <c r="B76">
        <f>IFERROR06v</f>
        <v>0</v>
      </c>
      <c r="D76">
        <f>IFERROR(__xludf.DUMMYFUNCTION("""COMPUTED_VALUE"""),"")</f>
        <v>0</v>
      </c>
      <c r="H76">
        <f>IFERROR(__xludf.DUMMYFUNCTION("""COMPUTED_VALUE"""),"end_group")</f>
        <v>0</v>
      </c>
      <c r="M76">
        <f>IFERROR000</f>
        <v>0</v>
      </c>
    </row>
    <row r="77" spans="1:13">
      <c r="A77">
        <f>IFERROR(__xludf.DUMMYFUNCTION("""COMPUTED_VALUE"""),"")</f>
        <v>0</v>
      </c>
      <c r="B77">
        <f>IFERROR(1S</f>
        <v>0</v>
      </c>
      <c r="D77">
        <f>IFERROR(__xludf.DUMMYFUNCTION("""COMPUTED_VALUE"""),"")</f>
        <v>0</v>
      </c>
      <c r="H77">
        <f>IFERROR(__xludf.DUMMYFUNCTION("""COMPUTED_VALUE"""),"calculate")</f>
        <v>0</v>
      </c>
      <c r="M77">
        <f>IFERROR000</f>
        <v>0</v>
      </c>
    </row>
    <row r="78" spans="1:13">
      <c r="A78">
        <f>IFERROR(__xludf.DUMMYFUNCTION("""COMPUTED_VALUE"""),"")</f>
        <v>0</v>
      </c>
      <c r="B78">
        <f>IFERROR08e</f>
        <v>0</v>
      </c>
      <c r="D78">
        <f>IFERROR(__xludf.DUMMYFUNCTION("""COMPUTED_VALUE"""),"")</f>
        <v>0</v>
      </c>
      <c r="H78">
        <f>IFERROR(__xludf.DUMMYFUNCTION("""COMPUTED_VALUE"""),"end_group")</f>
        <v>0</v>
      </c>
      <c r="M78">
        <f>IFERROR000</f>
        <v>0</v>
      </c>
    </row>
    <row r="79" spans="1:13">
      <c r="A79">
        <f>IFERROR(__xludf.DUMMYFUNCTION("""COMPUTED_VALUE"""),"Section 2. Business Plan")</f>
        <v>0</v>
      </c>
      <c r="B79">
        <f>IFERROR(3R</f>
        <v>0</v>
      </c>
      <c r="D79">
        <f>IFERROR(__xludf.DUMMYFUNCTION("""COMPUTED_VALUE"""),"Section 2. Business Plan")</f>
        <v>0</v>
      </c>
      <c r="H79">
        <f>IFERROR(__xludf.DUMMYFUNCTION("""COMPUTED_VALUE"""),"begin_group")</f>
        <v>0</v>
      </c>
      <c r="M79">
        <f>IFERROR000</f>
        <v>0</v>
      </c>
    </row>
    <row r="80" spans="1:13">
      <c r="A80">
        <f>IFERROR(__xludf.DUMMYFUNCTION("""COMPUTED_VALUE"""),"1. Does facility use a business plan?")</f>
        <v>0</v>
      </c>
      <c r="B80">
        <f>IFERROR(4R</f>
        <v>0</v>
      </c>
      <c r="D80">
        <f>IFERROR(__xludf.DUMMYFUNCTION("""COMPUTED_VALUE"""),"1. Does facility use a business plan?")</f>
        <v>0</v>
      </c>
      <c r="H80">
        <f>IFERROR(__xludf.DUMMYFUNCTION("""COMPUTED_VALUE"""),"select_one yes_no")</f>
        <v>0</v>
      </c>
      <c r="M80">
        <f>IFERROR000</f>
        <v>0</v>
      </c>
    </row>
    <row r="81" spans="1:13">
      <c r="A81">
        <f>IFERROR(__xludf.DUMMYFUNCTION("""COMPUTED_VALUE"""),"2. Quarterly business plan for the quarter under evaluation made and accessible")</f>
        <v>0</v>
      </c>
      <c r="B81">
        <f>IFERROR(7V</f>
        <v>0</v>
      </c>
      <c r="D81">
        <f>IFERROR(__xludf.DUMMYFUNCTION("""COMPUTED_VALUE"""),"2. Quarterly business plan for the quarter under evaluation made and accessible")</f>
        <v>0</v>
      </c>
      <c r="H81">
        <f>IFERROR(__xludf.DUMMYFUNCTION("""COMPUTED_VALUE"""),"select_one yes1_no0")</f>
        <v>0</v>
      </c>
      <c r="M81">
        <f>IFERROR000</f>
        <v>0</v>
      </c>
    </row>
    <row r="82" spans="1:13">
      <c r="A82">
        <f>IFERROR(__xludf.DUMMYFUNCTION("""COMPUTED_VALUE"""),"3. Business plan prepared with key stakeholders")</f>
        <v>0</v>
      </c>
      <c r="B82">
        <f>IFERROR(2b</f>
        <v>0</v>
      </c>
      <c r="D82">
        <f>IFERROR(__xludf.DUMMYFUNCTION("""COMPUTED_VALUE"""),"3. Business plan prepared with key stakeholders")</f>
        <v>0</v>
      </c>
      <c r="H82">
        <f>IFERROR(__xludf.DUMMYFUNCTION("""COMPUTED_VALUE"""),"select_one yes2_no0")</f>
        <v>0</v>
      </c>
      <c r="M82">
        <f>IFERROR000</f>
        <v>0</v>
      </c>
    </row>
    <row r="83" spans="1:13">
      <c r="A83">
        <f>IFERROR(__xludf.DUMMYFUNCTION("""COMPUTED_VALUE"""),"4. Business plan analyzes Hygiene and waste management")</f>
        <v>0</v>
      </c>
      <c r="B83">
        <f>IFERROR(9t</f>
        <v>0</v>
      </c>
      <c r="D83">
        <f>IFERROR(__xludf.DUMMYFUNCTION("""COMPUTED_VALUE"""),"4. Business plan analyzes Hygiene and waste management")</f>
        <v>0</v>
      </c>
      <c r="H83">
        <f>IFERROR(__xludf.DUMMYFUNCTION("""COMPUTED_VALUE"""),"select_one yes1_no0")</f>
        <v>0</v>
      </c>
      <c r="M83">
        <f>IFERROR000</f>
        <v>0</v>
      </c>
    </row>
    <row r="84" spans="1:13">
      <c r="A84">
        <f>IFERROR(__xludf.DUMMYFUNCTION("""COMPUTED_VALUE"""),"5. Business plan analyzes Quality of Medical Care")</f>
        <v>0</v>
      </c>
      <c r="B84">
        <f>IFERROR(1R</f>
        <v>0</v>
      </c>
      <c r="D84">
        <f>IFERROR(__xludf.DUMMYFUNCTION("""COMPUTED_VALUE"""),"5. Business plan analyzes Quality of Medical Care")</f>
        <v>0</v>
      </c>
      <c r="H84">
        <f>IFERROR(__xludf.DUMMYFUNCTION("""COMPUTED_VALUE"""),"select_one yes1_no0")</f>
        <v>0</v>
      </c>
      <c r="M84">
        <f>IFERROR000</f>
        <v>0</v>
      </c>
    </row>
    <row r="85" spans="1:13">
      <c r="A85">
        <f>IFERROR(__xludf.DUMMYFUNCTION("""COMPUTED_VALUE"""),"6. Business plan contains convincing strategies to effectively ensure that at-risk women in the CH/LGA catchment area reaches the hospital")</f>
        <v>0</v>
      </c>
      <c r="B85">
        <f>IFERROR(6b</f>
        <v>0</v>
      </c>
      <c r="D85">
        <f>IFERROR(__xludf.DUMMYFUNCTION("""COMPUTED_VALUE"""),"6. Business plan contains convincing strategies to effectively ensure that at-risk women in the CH/LGA catchment area reaches the hospital")</f>
        <v>0</v>
      </c>
      <c r="H85">
        <f>IFERROR(__xludf.DUMMYFUNCTION("""COMPUTED_VALUE"""),"select_one yes0p5_no0")</f>
        <v>0</v>
      </c>
      <c r="M85">
        <f>IFERROR000</f>
        <v>0</v>
      </c>
    </row>
    <row r="86" spans="1:13">
      <c r="A86">
        <f>IFERROR(__xludf.DUMMYFUNCTION("""COMPUTED_VALUE"""),"2.1 Business plan shows a plan to assure financial accessibility for the population")</f>
        <v>0</v>
      </c>
      <c r="B86">
        <f>IFERROR(6G</f>
        <v>0</v>
      </c>
      <c r="D86">
        <f>IFERROR(__xludf.DUMMYFUNCTION("""COMPUTED_VALUE"""),"2.1 Business plan shows a plan to assure financial accessibility for the population")</f>
        <v>0</v>
      </c>
      <c r="H86">
        <f>IFERROR(__xludf.DUMMYFUNCTION("""COMPUTED_VALUE"""),"begin_group")</f>
        <v>0</v>
      </c>
      <c r="M86">
        <f>IFERROR000</f>
        <v>0</v>
      </c>
    </row>
    <row r="87" spans="1:13">
      <c r="A87">
        <f>IFERROR(__xludf.DUMMYFUNCTION("""COMPUTED_VALUE"""),"7. Business plan shows negotiated rates between HF, Indigent Committee and community")</f>
        <v>0</v>
      </c>
      <c r="B87">
        <f>IFERROR(8J</f>
        <v>0</v>
      </c>
      <c r="D87">
        <f>IFERROR(__xludf.DUMMYFUNCTION("""COMPUTED_VALUE"""),"7. Business plan shows negotiated rates between HF, Indigent Committee and community")</f>
        <v>0</v>
      </c>
      <c r="H87">
        <f>IFERROR(__xludf.DUMMYFUNCTION("""COMPUTED_VALUE"""),"select_one yes1_no0")</f>
        <v>0</v>
      </c>
      <c r="M87">
        <f>IFERROR000</f>
        <v>0</v>
      </c>
    </row>
    <row r="88" spans="1:13">
      <c r="A88">
        <f>IFERROR(__xludf.DUMMYFUNCTION("""COMPUTED_VALUE"""),"8. Business plan shows the mechanism how the HF identifies indigents, and how it assesses eligibility, and how it deals with decision making on difficult cases")</f>
        <v>0</v>
      </c>
      <c r="B88">
        <f>IFERROR(5G</f>
        <v>0</v>
      </c>
      <c r="D88">
        <f>IFERROR(__xludf.DUMMYFUNCTION("""COMPUTED_VALUE"""),"8. Business plan shows the mechanism how the HF identifies indigents, and how it assesses eligibility, and how it deals with decision making on difficult cases")</f>
        <v>0</v>
      </c>
      <c r="H88">
        <f>IFERROR(__xludf.DUMMYFUNCTION("""COMPUTED_VALUE"""),"select_one yes1_no0")</f>
        <v>0</v>
      </c>
      <c r="M88">
        <f>IFERROR000</f>
        <v>0</v>
      </c>
    </row>
    <row r="89" spans="1:13">
      <c r="A89">
        <f>IFERROR(__xludf.DUMMYFUNCTION("""COMPUTED_VALUE"""),"9. Business plan shows planning for the resources available for financing care for the indigents")</f>
        <v>0</v>
      </c>
      <c r="B89">
        <f>IFERROR(6Q</f>
        <v>0</v>
      </c>
      <c r="D89">
        <f>IFERROR(__xludf.DUMMYFUNCTION("""COMPUTED_VALUE"""),"9. Business plan shows planning for the resources available for financing care for the indigents")</f>
        <v>0</v>
      </c>
      <c r="H89">
        <f>IFERROR(__xludf.DUMMYFUNCTION("""COMPUTED_VALUE"""),"select_one yes1_no0")</f>
        <v>0</v>
      </c>
      <c r="M89">
        <f>IFERROR000</f>
        <v>0</v>
      </c>
    </row>
    <row r="90" spans="1:13">
      <c r="A90">
        <f>IFERROR(__xludf.DUMMYFUNCTION("""COMPUTED_VALUE"""),"2.1 Key comments")</f>
        <v>0</v>
      </c>
      <c r="B90">
        <f>IFERROR(6K</f>
        <v>0</v>
      </c>
      <c r="D90">
        <f>IFERROR(__xludf.DUMMYFUNCTION("""COMPUTED_VALUE"""),"2.1 Key comments")</f>
        <v>0</v>
      </c>
      <c r="H90">
        <f>IFERROR(__xludf.DUMMYFUNCTION("""COMPUTED_VALUE"""),"text")</f>
        <v>0</v>
      </c>
      <c r="M90">
        <f>IFERROR000</f>
        <v>0</v>
      </c>
    </row>
    <row r="91" spans="1:13">
      <c r="A91">
        <f>IFERROR(__xludf.DUMMYFUNCTION("""COMPUTED_VALUE"""),"2.1 Action Plan")</f>
        <v>0</v>
      </c>
      <c r="B91">
        <f>IFERROR(6B</f>
        <v>0</v>
      </c>
      <c r="D91">
        <f>IFERROR(__xludf.DUMMYFUNCTION("""COMPUTED_VALUE"""),"2.1 Action Plan")</f>
        <v>0</v>
      </c>
      <c r="H91">
        <f>IFERROR(__xludf.DUMMYFUNCTION("""COMPUTED_VALUE"""),"text")</f>
        <v>0</v>
      </c>
      <c r="M91">
        <f>IFERROR000</f>
        <v>0</v>
      </c>
    </row>
    <row r="92" spans="1:13">
      <c r="A92">
        <f>IFERROR(__xludf.DUMMYFUNCTION("""COMPUTED_VALUE"""),"")</f>
        <v>0</v>
      </c>
      <c r="B92">
        <f>IFERROR(1C</f>
        <v>0</v>
      </c>
      <c r="D92">
        <f>IFERROR(__xludf.DUMMYFUNCTION("""COMPUTED_VALUE"""),"")</f>
        <v>0</v>
      </c>
      <c r="H92">
        <f>IFERROR(__xludf.DUMMYFUNCTION("""COMPUTED_VALUE"""),"calculate")</f>
        <v>0</v>
      </c>
      <c r="M92">
        <f>IFERROR000</f>
        <v>0</v>
      </c>
    </row>
    <row r="93" spans="1:13">
      <c r="A93">
        <f>IFERROR(__xludf.DUMMYFUNCTION("""COMPUTED_VALUE"""),"")</f>
        <v>0</v>
      </c>
      <c r="B93">
        <f>IFERROR09r</f>
        <v>0</v>
      </c>
      <c r="D93">
        <f>IFERROR(__xludf.DUMMYFUNCTION("""COMPUTED_VALUE"""),"")</f>
        <v>0</v>
      </c>
      <c r="H93">
        <f>IFERROR(__xludf.DUMMYFUNCTION("""COMPUTED_VALUE"""),"end_group")</f>
        <v>0</v>
      </c>
      <c r="M93">
        <f>IFERROR000</f>
        <v>0</v>
      </c>
    </row>
    <row r="94" spans="1:13">
      <c r="A94">
        <f>IFERROR(__xludf.DUMMYFUNCTION("""COMPUTED_VALUE"""),"")</f>
        <v>0</v>
      </c>
      <c r="B94">
        <f>IFERROR(7I</f>
        <v>0</v>
      </c>
      <c r="D94">
        <f>IFERROR(__xludf.DUMMYFUNCTION("""COMPUTED_VALUE"""),"")</f>
        <v>0</v>
      </c>
      <c r="H94">
        <f>IFERROR(__xludf.DUMMYFUNCTION("""COMPUTED_VALUE"""),"calculate")</f>
        <v>0</v>
      </c>
      <c r="M94">
        <f>IFERROR000</f>
        <v>0</v>
      </c>
    </row>
    <row r="95" spans="1:13">
      <c r="A95">
        <f>IFERROR(__xludf.DUMMYFUNCTION("""COMPUTED_VALUE"""),"")</f>
        <v>0</v>
      </c>
      <c r="B95">
        <f>IFERROR09J</f>
        <v>0</v>
      </c>
      <c r="D95">
        <f>IFERROR(__xludf.DUMMYFUNCTION("""COMPUTED_VALUE"""),"")</f>
        <v>0</v>
      </c>
      <c r="H95">
        <f>IFERROR(__xludf.DUMMYFUNCTION("""COMPUTED_VALUE"""),"end_group")</f>
        <v>0</v>
      </c>
      <c r="M95">
        <f>IFERROR000</f>
        <v>0</v>
      </c>
    </row>
    <row r="96" spans="1:13">
      <c r="A96">
        <f>IFERROR(__xludf.DUMMYFUNCTION("""COMPUTED_VALUE"""),"Section 3. Finance")</f>
        <v>0</v>
      </c>
      <c r="B96">
        <f>IFERROR(1e</f>
        <v>0</v>
      </c>
      <c r="D96">
        <f>IFERROR(__xludf.DUMMYFUNCTION("""COMPUTED_VALUE"""),"Section 3. Finance")</f>
        <v>0</v>
      </c>
      <c r="H96">
        <f>IFERROR(__xludf.DUMMYFUNCTION("""COMPUTED_VALUE"""),"begin_group")</f>
        <v>0</v>
      </c>
      <c r="M96">
        <f>IFERROR(00</f>
        <v>0</v>
      </c>
    </row>
    <row r="97" spans="1:13">
      <c r="A97">
        <f>IFERROR(__xludf.DUMMYFUNCTION("""COMPUTED_VALUE"""),"1. Does the facility have a functional bank account?")</f>
        <v>0</v>
      </c>
      <c r="B97">
        <f>IFERROR(6S</f>
        <v>0</v>
      </c>
      <c r="D97">
        <f>IFERROR(__xludf.DUMMYFUNCTION("""COMPUTED_VALUE"""),"1. Does the facility have a functional bank account?")</f>
        <v>0</v>
      </c>
      <c r="H97">
        <f>IFERROR(__xludf.DUMMYFUNCTION("""COMPUTED_VALUE"""),"select_one yes2_no0")</f>
        <v>0</v>
      </c>
      <c r="M97">
        <f>IFERROR(00</f>
        <v>0</v>
      </c>
    </row>
    <row r="98" spans="1:13">
      <c r="A98">
        <f>IFERROR(__xludf.DUMMYFUNCTION("""COMPUTED_VALUE"""),"1b. Monthly report of treasury available and correctly filled Is the imprest account available?")</f>
        <v>0</v>
      </c>
      <c r="B98">
        <f>IFERROR(0X</f>
        <v>0</v>
      </c>
      <c r="D98">
        <f>IFERROR(__xludf.DUMMYFUNCTION("""COMPUTED_VALUE"""),"1b. Monthly report of treasury available and correctly filled Is the imprest account available?")</f>
        <v>0</v>
      </c>
      <c r="H98">
        <f>IFERROR(__xludf.DUMMYFUNCTION("""COMPUTED_VALUE"""),"select_one yes_no")</f>
        <v>0</v>
      </c>
      <c r="M98">
        <f>IFERROR(00</f>
        <v>0</v>
      </c>
    </row>
    <row r="99" spans="1:13">
      <c r="A99">
        <f>IFERROR(__xludf.DUMMYFUNCTION("""COMPUTED_VALUE"""),"1c. Theoretical balance of cash-book corresponds to liquidity in cash Is there a designated book keeper?                        ")</f>
        <v>0</v>
      </c>
      <c r="B99">
        <f>IFERROR(3A</f>
        <v>0</v>
      </c>
      <c r="D99">
        <f>IFERROR(__xludf.DUMMYFUNCTION("""COMPUTED_VALUE"""),"1c. Theoretical balance of cash-book corresponds to liquidity in cash Is there a designated book keeper?                        ")</f>
        <v>0</v>
      </c>
      <c r="H99">
        <f>IFERROR(__xludf.DUMMYFUNCTION("""COMPUTED_VALUE"""),"select_one yes_no")</f>
        <v>0</v>
      </c>
      <c r="M99">
        <f>IFERROR(00</f>
        <v>0</v>
      </c>
    </row>
    <row r="100" spans="1:13">
      <c r="A100">
        <f>IFERROR(__xludf.DUMMYFUNCTION("""COMPUTED_VALUE"""),"3.1 Document available (drawn from the Indice Tool) to show that quarterly calculation of incomes, running costs, investments and variable performance subsidies are done. Does this hospital have a Drug Revolving Fund (DRF) / Joint Venture Pharmacy / Free "&amp;"Health Scheme?")</f>
        <v>0</v>
      </c>
      <c r="B100">
        <f>IFERROR(9Y</f>
        <v>0</v>
      </c>
      <c r="D100">
        <f>IFERROR(__xludf.DUMMYFUNCTION("""COMPUTED_VALUE"""),"3.1 Document available (drawn from the Indice Tool) to show that quarterly calculation of incomes, running costs, investments and variable performance subsidies are done. Does this hospital have a Drug Revolving Fund (DRF) / Joint Venture Pharmacy / Free "&amp;"Health Scheme?")</f>
        <v>0</v>
      </c>
      <c r="H100">
        <f>IFERROR(__xludf.DUMMYFUNCTION("""COMPUTED_VALUE"""),"begin_group")</f>
        <v>0</v>
      </c>
      <c r="M100">
        <f>IFERROR(00</f>
        <v>0</v>
      </c>
    </row>
    <row r="101" spans="1:13">
      <c r="A101">
        <f>IFERROR(__xludf.DUMMYFUNCTION("""COMPUTED_VALUE"""),"2. This document guarantees that income equals/balances the expenditures. Running costs: = salaries, purchase of drugs and equipment, subcontracts, petty cash for small expenditures, maintenance and rehabilitation etc. Is the Drug Revolving Fund (DRF) acc"&amp;"ount available?")</f>
        <v>0</v>
      </c>
      <c r="B101">
        <f>IFERROR(7b</f>
        <v>0</v>
      </c>
      <c r="D101">
        <f>IFERROR(__xludf.DUMMYFUNCTION("""COMPUTED_VALUE"""),"2. This document guarantees that income equals/balances the expenditures. Running costs: = salaries, purchase of drugs and equipment, subcontracts, petty cash for small expenditures, maintenance and rehabilitation etc. Is the Drug Revolving Fund (DRF) acc"&amp;"ount available?")</f>
        <v>0</v>
      </c>
      <c r="H101">
        <f>IFERROR(__xludf.DUMMYFUNCTION("""COMPUTED_VALUE"""),"select_one yes3_no0")</f>
        <v>0</v>
      </c>
      <c r="M101">
        <f>IFERROR(00</f>
        <v>0</v>
      </c>
    </row>
    <row r="102" spans="1:13">
      <c r="A102">
        <f>IFERROR(__xludf.DUMMYFUNCTION("""COMPUTED_VALUE"""),"3. This document uses the MS Excel- based 'indice tool' for its information. The 'indice tool' is shown and the calculations for the coming quarter are explained to the verifier Is the Drug Revolving Fund (DRF) account available?")</f>
        <v>0</v>
      </c>
      <c r="B102">
        <f>IFERROR(1o</f>
        <v>0</v>
      </c>
      <c r="D102">
        <f>IFERROR(__xludf.DUMMYFUNCTION("""COMPUTED_VALUE"""),"3. This document uses the MS Excel- based 'indice tool' for its information. The 'indice tool' is shown and the calculations for the coming quarter are explained to the verifier Is the Drug Revolving Fund (DRF) account available?")</f>
        <v>0</v>
      </c>
      <c r="H102">
        <f>IFERROR(__xludf.DUMMYFUNCTION("""COMPUTED_VALUE"""),"select_one yes28_no0")</f>
        <v>0</v>
      </c>
      <c r="M102">
        <f>IFERROR(00</f>
        <v>0</v>
      </c>
    </row>
    <row r="103" spans="1:13">
      <c r="A103">
        <f>IFERROR(__xludf.DUMMYFUNCTION("""COMPUTED_VALUE"""),"4. This document calculates the performance bonus using the indice tool. Performance bonuses are not larger than 50% of total income of the facility. Do you hold Monthly DRF/ JVP / FHS committee Meetings?")</f>
        <v>0</v>
      </c>
      <c r="B103">
        <f>IFERROR(3J</f>
        <v>0</v>
      </c>
      <c r="D103">
        <f>IFERROR(__xludf.DUMMYFUNCTION("""COMPUTED_VALUE"""),"4. This document calculates the performance bonus using the indice tool. Performance bonuses are not larger than 50% of total income of the facility. Do you hold Monthly DRF/ JVP / FHS committee Meetings?")</f>
        <v>0</v>
      </c>
      <c r="H103">
        <f>IFERROR(__xludf.DUMMYFUNCTION("""COMPUTED_VALUE"""),"select_one yes3_no0")</f>
        <v>0</v>
      </c>
      <c r="M103">
        <f>IFERROR(00</f>
        <v>0</v>
      </c>
    </row>
    <row r="104" spans="1:13">
      <c r="A104">
        <f>IFERROR(__xludf.DUMMYFUNCTION("""COMPUTED_VALUE"""),"5. Benefits + performance bonuses do not exceed 50% of total HF income through PBF and are fixed according to health facility resolutions and not from hierarchy. Additional contractual staff hired through health facility income as specified in the Busines"&amp;"s plan) is separately listed and does not count towards the bonus budget part. Do you produce DRF / JVP account statements?")</f>
        <v>0</v>
      </c>
      <c r="B104">
        <f>IFERROR(1G</f>
        <v>0</v>
      </c>
      <c r="D104">
        <f>IFERROR(__xludf.DUMMYFUNCTION("""COMPUTED_VALUE"""),"5. Benefits + performance bonuses do not exceed 50% of total HF income through PBF and are fixed according to health facility resolutions and not from hierarchy. Additional contractual staff hired through health facility income as specified in the Busines"&amp;"s plan) is separately listed and does not count towards the bonus budget part. Do you produce DRF / JVP account statements?")</f>
        <v>0</v>
      </c>
      <c r="H104">
        <f>IFERROR(__xludf.DUMMYFUNCTION("""COMPUTED_VALUE"""),"select_one yes10_no0")</f>
        <v>0</v>
      </c>
    </row>
    <row r="105" spans="1:13">
      <c r="A105">
        <f>IFERROR(__xludf.DUMMYFUNCTION("""COMPUTED_VALUE"""),"6. Bonuses are paid directly from health facility bank account into individual staff account. Is an up-to-date record of expired and lost drugs available?")</f>
        <v>0</v>
      </c>
      <c r="B105">
        <f>IFERROR(4w</f>
        <v>0</v>
      </c>
      <c r="D105">
        <f>IFERROR(__xludf.DUMMYFUNCTION("""COMPUTED_VALUE"""),"6. Bonuses are paid directly from health facility bank account into individual staff account. Is an up-to-date record of expired and lost drugs available?")</f>
        <v>0</v>
      </c>
      <c r="H105">
        <f>IFERROR(__xludf.DUMMYFUNCTION("""COMPUTED_VALUE"""),"select_one yes_no")</f>
        <v>0</v>
      </c>
    </row>
    <row r="106" spans="1:13">
      <c r="A106">
        <f>IFERROR(__xludf.DUMMYFUNCTION("""COMPUTED_VALUE"""),"7. Existence of monthly performance bonus system is known by staff Are monthly DRF returns up to date?")</f>
        <v>0</v>
      </c>
      <c r="B106">
        <f>IFERROR(5x</f>
        <v>0</v>
      </c>
      <c r="D106">
        <f>IFERROR(__xludf.DUMMYFUNCTION("""COMPUTED_VALUE"""),"7. Existence of monthly performance bonus system is known by staff Are monthly DRF returns up to date?")</f>
        <v>0</v>
      </c>
      <c r="H106">
        <f>IFERROR(__xludf.DUMMYFUNCTION("""COMPUTED_VALUE"""),"select_one yes4_no0")</f>
        <v>0</v>
      </c>
    </row>
    <row r="107" spans="1:13">
      <c r="A107">
        <f>IFERROR(__xludf.DUMMYFUNCTION("""COMPUTED_VALUE"""),"3.1 Key comments")</f>
        <v>0</v>
      </c>
      <c r="B107">
        <f>IFERROR(1u</f>
        <v>0</v>
      </c>
      <c r="D107">
        <f>IFERROR(__xludf.DUMMYFUNCTION("""COMPUTED_VALUE"""),"3.1 Key comments")</f>
        <v>0</v>
      </c>
      <c r="H107">
        <f>IFERROR(__xludf.DUMMYFUNCTION("""COMPUTED_VALUE"""),"text")</f>
        <v>0</v>
      </c>
    </row>
    <row r="108" spans="1:13">
      <c r="A108">
        <f>IFERROR(__xludf.DUMMYFUNCTION("""COMPUTED_VALUE"""),"3.1 Action Plan")</f>
        <v>0</v>
      </c>
      <c r="B108">
        <f>IFERROR(2r</f>
        <v>0</v>
      </c>
      <c r="D108">
        <f>IFERROR(__xludf.DUMMYFUNCTION("""COMPUTED_VALUE"""),"3.1 Action Plan")</f>
        <v>0</v>
      </c>
      <c r="H108">
        <f>IFERROR(__xludf.DUMMYFUNCTION("""COMPUTED_VALUE"""),"text")</f>
        <v>0</v>
      </c>
    </row>
    <row r="109" spans="1:13">
      <c r="A109">
        <f>IFERROR(__xludf.DUMMYFUNCTION("""COMPUTED_VALUE"""),"")</f>
        <v>0</v>
      </c>
      <c r="B109">
        <f>IFERROR01o</f>
        <v>0</v>
      </c>
      <c r="D109">
        <f>IFERROR(__xludf.DUMMYFUNCTION("""COMPUTED_VALUE"""),"")</f>
        <v>0</v>
      </c>
      <c r="H109">
        <f>IFERROR(__xludf.DUMMYFUNCTION("""COMPUTED_VALUE"""),"end_group")</f>
        <v>0</v>
      </c>
    </row>
    <row r="110" spans="1:13">
      <c r="A110">
        <f>IFERROR(__xludf.DUMMYFUNCTION("""COMPUTED_VALUE"""),"")</f>
        <v>0</v>
      </c>
      <c r="B110">
        <f>IFERROR(7a</f>
        <v>0</v>
      </c>
      <c r="D110">
        <f>IFERROR(__xludf.DUMMYFUNCTION("""COMPUTED_VALUE"""),"")</f>
        <v>0</v>
      </c>
      <c r="H110">
        <f>IFERROR(__xludf.DUMMYFUNCTION("""COMPUTED_VALUE"""),"calculate")</f>
        <v>0</v>
      </c>
    </row>
    <row r="111" spans="1:13">
      <c r="A111">
        <f>IFERROR(__xludf.DUMMYFUNCTION("""COMPUTED_VALUE"""),"")</f>
        <v>0</v>
      </c>
      <c r="B111">
        <f>IFERROR04j</f>
        <v>0</v>
      </c>
      <c r="D111">
        <f>IFERROR(__xludf.DUMMYFUNCTION("""COMPUTED_VALUE"""),"")</f>
        <v>0</v>
      </c>
      <c r="H111">
        <f>IFERROR(__xludf.DUMMYFUNCTION("""COMPUTED_VALUE"""),"end_group")</f>
        <v>0</v>
      </c>
    </row>
    <row r="112" spans="1:13">
      <c r="A112">
        <f>IFERROR(__xludf.DUMMYFUNCTION("""COMPUTED_VALUE"""),"Section 4. Social Welfare Committee ")</f>
        <v>0</v>
      </c>
      <c r="B112">
        <f>IFERROR(4c</f>
        <v>0</v>
      </c>
      <c r="D112">
        <f>IFERROR(__xludf.DUMMYFUNCTION("""COMPUTED_VALUE"""),"Section 4. Social Welfare Committee ")</f>
        <v>0</v>
      </c>
      <c r="H112">
        <f>IFERROR(__xludf.DUMMYFUNCTION("""COMPUTED_VALUE"""),"begin_group")</f>
        <v>0</v>
      </c>
    </row>
    <row r="113" spans="1:8">
      <c r="A113">
        <f>IFERROR(__xludf.DUMMYFUNCTION("""COMPUTED_VALUE"""),"1. Does the hospital have a social welfare unit?")</f>
        <v>0</v>
      </c>
      <c r="B113">
        <f>IFERROR(5D</f>
        <v>0</v>
      </c>
      <c r="D113">
        <f>IFERROR(__xludf.DUMMYFUNCTION("""COMPUTED_VALUE"""),"1. Does the hospital have a social welfare unit?")</f>
        <v>0</v>
      </c>
      <c r="H113">
        <f>IFERROR(__xludf.DUMMYFUNCTION("""COMPUTED_VALUE"""),"select_one yes_no")</f>
        <v>0</v>
      </c>
    </row>
    <row r="114" spans="1:8">
      <c r="A114">
        <f>IFERROR(__xludf.DUMMYFUNCTION("""COMPUTED_VALUE"""),"2. Planning for Care for the social welfare expenditures")</f>
        <v>0</v>
      </c>
      <c r="B114">
        <f>IFERROR(0d</f>
        <v>0</v>
      </c>
      <c r="D114">
        <f>IFERROR(__xludf.DUMMYFUNCTION("""COMPUTED_VALUE"""),"2. Planning for Care for the social welfare expenditures")</f>
        <v>0</v>
      </c>
      <c r="H114">
        <f>IFERROR(__xludf.DUMMYFUNCTION("""COMPUTED_VALUE"""),"select_one yes1_no0")</f>
        <v>0</v>
      </c>
    </row>
    <row r="115" spans="1:8">
      <c r="A115">
        <f>IFERROR(__xludf.DUMMYFUNCTION("""COMPUTED_VALUE"""),"3. social welfare committee meets monthly")</f>
        <v>0</v>
      </c>
      <c r="B115">
        <f>IFERROR(1U</f>
        <v>0</v>
      </c>
      <c r="D115">
        <f>IFERROR(__xludf.DUMMYFUNCTION("""COMPUTED_VALUE"""),"3. social welfare committee meets monthly")</f>
        <v>0</v>
      </c>
      <c r="H115">
        <f>IFERROR(__xludf.DUMMYFUNCTION("""COMPUTED_VALUE"""),"select_one yes3_no0")</f>
        <v>0</v>
      </c>
    </row>
    <row r="116" spans="1:8">
      <c r="A116">
        <f>IFERROR(__xludf.DUMMYFUNCTION("""COMPUTED_VALUE"""),"4. List of Indigent Patients/Sensitization")</f>
        <v>0</v>
      </c>
      <c r="B116">
        <f>IFERROR(5A</f>
        <v>0</v>
      </c>
      <c r="D116">
        <f>IFERROR(__xludf.DUMMYFUNCTION("""COMPUTED_VALUE"""),"4. List of Indigent Patients/Sensitization")</f>
        <v>0</v>
      </c>
      <c r="H116">
        <f>IFERROR(__xludf.DUMMYFUNCTION("""COMPUTED_VALUE"""),"select_one yes5_no0")</f>
        <v>0</v>
      </c>
    </row>
    <row r="117" spans="1:8">
      <c r="A117">
        <f>IFERROR(__xludf.DUMMYFUNCTION("""COMPUTED_VALUE"""),"4.0 Key comments")</f>
        <v>0</v>
      </c>
      <c r="B117">
        <f>IFERROR(3z</f>
        <v>0</v>
      </c>
      <c r="D117">
        <f>IFERROR(__xludf.DUMMYFUNCTION("""COMPUTED_VALUE"""),"4.0 Key comments")</f>
        <v>0</v>
      </c>
      <c r="H117">
        <f>IFERROR(__xludf.DUMMYFUNCTION("""COMPUTED_VALUE"""),"text")</f>
        <v>0</v>
      </c>
    </row>
    <row r="118" spans="1:8">
      <c r="A118">
        <f>IFERROR(__xludf.DUMMYFUNCTION("""COMPUTED_VALUE"""),"4.0 Action Plan")</f>
        <v>0</v>
      </c>
      <c r="B118">
        <f>IFERROR(3Y</f>
        <v>0</v>
      </c>
      <c r="D118">
        <f>IFERROR(__xludf.DUMMYFUNCTION("""COMPUTED_VALUE"""),"4.0 Action Plan")</f>
        <v>0</v>
      </c>
      <c r="H118">
        <f>IFERROR(__xludf.DUMMYFUNCTION("""COMPUTED_VALUE"""),"text")</f>
        <v>0</v>
      </c>
    </row>
    <row r="119" spans="1:8">
      <c r="A119">
        <f>IFERROR(__xludf.DUMMYFUNCTION("""COMPUTED_VALUE"""),"")</f>
        <v>0</v>
      </c>
      <c r="B119">
        <f>IFERROR(2M</f>
        <v>0</v>
      </c>
      <c r="D119">
        <f>IFERROR(__xludf.DUMMYFUNCTION("""COMPUTED_VALUE"""),"")</f>
        <v>0</v>
      </c>
      <c r="H119">
        <f>IFERROR(__xludf.DUMMYFUNCTION("""COMPUTED_VALUE"""),"calculate")</f>
        <v>0</v>
      </c>
    </row>
    <row r="120" spans="1:8">
      <c r="A120">
        <f>IFERROR(__xludf.DUMMYFUNCTION("""COMPUTED_VALUE"""),"")</f>
        <v>0</v>
      </c>
      <c r="B120">
        <f>IFERROR02B</f>
        <v>0</v>
      </c>
      <c r="D120">
        <f>IFERROR(__xludf.DUMMYFUNCTION("""COMPUTED_VALUE"""),"")</f>
        <v>0</v>
      </c>
      <c r="H120">
        <f>IFERROR(__xludf.DUMMYFUNCTION("""COMPUTED_VALUE"""),"end_group")</f>
        <v>0</v>
      </c>
    </row>
    <row r="121" spans="1:8">
      <c r="A121">
        <f>IFERROR(__xludf.DUMMYFUNCTION("""COMPUTED_VALUE"""),"Section 5. Hygiene and Medical Waste Disposal ")</f>
        <v>0</v>
      </c>
      <c r="B121">
        <f>IFERROR(2D</f>
        <v>0</v>
      </c>
      <c r="D121">
        <f>IFERROR(__xludf.DUMMYFUNCTION("""COMPUTED_VALUE"""),"Section 5. Hygiene and Medical Waste Disposal ")</f>
        <v>0</v>
      </c>
      <c r="H121">
        <f>IFERROR(__xludf.DUMMYFUNCTION("""COMPUTED_VALUE"""),"begin_group")</f>
        <v>0</v>
      </c>
    </row>
    <row r="122" spans="1:8">
      <c r="A122">
        <f>IFERROR(__xludf.DUMMYFUNCTION("""COMPUTED_VALUE"""),"1. Health facility has a fence available and is well-maintained")</f>
        <v>0</v>
      </c>
      <c r="B122">
        <f>IFERROR(9e</f>
        <v>0</v>
      </c>
      <c r="D122">
        <f>IFERROR(__xludf.DUMMYFUNCTION("""COMPUTED_VALUE"""),"1. Health facility has a fence available and is well-maintained")</f>
        <v>0</v>
      </c>
      <c r="H122">
        <f>IFERROR(__xludf.DUMMYFUNCTION("""COMPUTED_VALUE"""),"select_one yes2_no0")</f>
        <v>0</v>
      </c>
    </row>
    <row r="123" spans="1:8">
      <c r="A123">
        <f>IFERROR(__xludf.DUMMYFUNCTION("""COMPUTED_VALUE"""),"2. Availability of a garbage bin in the courtyard")</f>
        <v>0</v>
      </c>
      <c r="B123">
        <f>IFERROR(9o</f>
        <v>0</v>
      </c>
      <c r="D123">
        <f>IFERROR(__xludf.DUMMYFUNCTION("""COMPUTED_VALUE"""),"2. Availability of a garbage bin in the courtyard")</f>
        <v>0</v>
      </c>
      <c r="H123">
        <f>IFERROR(__xludf.DUMMYFUNCTION("""COMPUTED_VALUE"""),"select_one yes1_no0")</f>
        <v>0</v>
      </c>
    </row>
    <row r="124" spans="1:8">
      <c r="A124">
        <f>IFERROR(__xludf.DUMMYFUNCTION("""COMPUTED_VALUE"""),"3. Waste pit for Health Care Waste is available and according to the norms")</f>
        <v>0</v>
      </c>
      <c r="B124">
        <f>IFERROR(0M</f>
        <v>0</v>
      </c>
      <c r="D124">
        <f>IFERROR(__xludf.DUMMYFUNCTION("""COMPUTED_VALUE"""),"3. Waste pit for Health Care Waste is available and according to the norms")</f>
        <v>0</v>
      </c>
      <c r="H124">
        <f>IFERROR(__xludf.DUMMYFUNCTION("""COMPUTED_VALUE"""),"select_one yes19_no0")</f>
        <v>0</v>
      </c>
    </row>
    <row r="125" spans="1:8">
      <c r="A125">
        <f>IFERROR(__xludf.DUMMYFUNCTION("""COMPUTED_VALUE"""),"4. Courtyard clean")</f>
        <v>0</v>
      </c>
      <c r="B125">
        <f>IFERROR(9Q</f>
        <v>0</v>
      </c>
      <c r="D125">
        <f>IFERROR(__xludf.DUMMYFUNCTION("""COMPUTED_VALUE"""),"4. Courtyard clean")</f>
        <v>0</v>
      </c>
      <c r="H125">
        <f>IFERROR(__xludf.DUMMYFUNCTION("""COMPUTED_VALUE"""),"select_one yes1_no0")</f>
        <v>0</v>
      </c>
    </row>
    <row r="126" spans="1:8">
      <c r="A126">
        <f>IFERROR(__xludf.DUMMYFUNCTION("""COMPUTED_VALUE"""),"5.1 Hygienic conditions assured during wound dressing and injections")</f>
        <v>0</v>
      </c>
      <c r="B126">
        <f>IFERROR(4A</f>
        <v>0</v>
      </c>
      <c r="D126">
        <f>IFERROR(__xludf.DUMMYFUNCTION("""COMPUTED_VALUE"""),"5.1 Hygienic conditions assured during wound dressing and injections")</f>
        <v>0</v>
      </c>
      <c r="H126">
        <f>IFERROR(__xludf.DUMMYFUNCTION("""COMPUTED_VALUE"""),"select_one yes2_no0")</f>
        <v>0</v>
      </c>
    </row>
    <row r="127" spans="1:8">
      <c r="A127">
        <f>IFERROR(__xludf.DUMMYFUNCTION("""COMPUTED_VALUE"""),"5. Bins for medical waste with lid and foot pedal lined with bag and not full")</f>
        <v>0</v>
      </c>
      <c r="B127">
        <f>IFERROR(0o</f>
        <v>0</v>
      </c>
      <c r="D127">
        <f>IFERROR(__xludf.DUMMYFUNCTION("""COMPUTED_VALUE"""),"5. Bins for medical waste with lid and foot pedal lined with bag and not full")</f>
        <v>0</v>
      </c>
      <c r="H127">
        <f>IFERROR(__xludf.DUMMYFUNCTION("""COMPUTED_VALUE"""),"select_one yes_no")</f>
        <v>0</v>
      </c>
    </row>
    <row r="128" spans="1:8">
      <c r="A128">
        <f>IFERROR(__xludf.DUMMYFUNCTION("""COMPUTED_VALUE"""),"6. Security box for needles well positioned, and used and not full")</f>
        <v>0</v>
      </c>
      <c r="B128">
        <f>IFERROR(1F</f>
        <v>0</v>
      </c>
      <c r="D128">
        <f>IFERROR(__xludf.DUMMYFUNCTION("""COMPUTED_VALUE"""),"6. Security box for needles well positioned, and used and not full")</f>
        <v>0</v>
      </c>
      <c r="H128">
        <f>IFERROR(__xludf.DUMMYFUNCTION("""COMPUTED_VALUE"""),"select_one yes_no")</f>
        <v>0</v>
      </c>
    </row>
    <row r="129" spans="1:8">
      <c r="A129">
        <f>IFERROR(__xludf.DUMMYFUNCTION("""COMPUTED_VALUE"""),"7. Needle cutter available and used")</f>
        <v>0</v>
      </c>
      <c r="B129">
        <f>IFERROR(2W</f>
        <v>0</v>
      </c>
      <c r="D129">
        <f>IFERROR(__xludf.DUMMYFUNCTION("""COMPUTED_VALUE"""),"7. Needle cutter available and used")</f>
        <v>0</v>
      </c>
      <c r="H129">
        <f>IFERROR(__xludf.DUMMYFUNCTION("""COMPUTED_VALUE"""),"select_one yes_no")</f>
        <v>0</v>
      </c>
    </row>
    <row r="130" spans="1:8">
      <c r="A130">
        <f>IFERROR(__xludf.DUMMYFUNCTION("""COMPUTED_VALUE"""),"8. Container/bowl with lid containing disinfectant used for putting used instruments")</f>
        <v>0</v>
      </c>
      <c r="B130">
        <f>IFERROR(3y</f>
        <v>0</v>
      </c>
      <c r="D130">
        <f>IFERROR(__xludf.DUMMYFUNCTION("""COMPUTED_VALUE"""),"8. Container/bowl with lid containing disinfectant used for putting used instruments")</f>
        <v>0</v>
      </c>
      <c r="H130">
        <f>IFERROR(__xludf.DUMMYFUNCTION("""COMPUTED_VALUE"""),"select_one yes_no")</f>
        <v>0</v>
      </c>
    </row>
    <row r="131" spans="1:8">
      <c r="A131">
        <f>IFERROR(__xludf.DUMMYFUNCTION("""COMPUTED_VALUE"""),"5.2 Disposal of Health Care Waste according to National Norms")</f>
        <v>0</v>
      </c>
      <c r="B131">
        <f>IFERROR(9Y</f>
        <v>0</v>
      </c>
      <c r="D131">
        <f>IFERROR(__xludf.DUMMYFUNCTION("""COMPUTED_VALUE"""),"5.2 Disposal of Health Care Waste according to National Norms")</f>
        <v>0</v>
      </c>
      <c r="H131">
        <f>IFERROR(__xludf.DUMMYFUNCTION("""COMPUTED_VALUE"""),"select_one yes5_no0")</f>
        <v>0</v>
      </c>
    </row>
    <row r="132" spans="1:8">
      <c r="A132">
        <f>IFERROR(__xludf.DUMMYFUNCTION("""COMPUTED_VALUE"""),"9. Waste disposal of non-contaminated waste in Black Bin with lid and foot pedal, lined with bag and not full")</f>
        <v>0</v>
      </c>
      <c r="B132">
        <f>IFERROR(3L</f>
        <v>0</v>
      </c>
      <c r="D132">
        <f>IFERROR(__xludf.DUMMYFUNCTION("""COMPUTED_VALUE"""),"9. Waste disposal of non-contaminated waste in Black Bin with lid and foot pedal, lined with bag and not full")</f>
        <v>0</v>
      </c>
      <c r="H132">
        <f>IFERROR(__xludf.DUMMYFUNCTION("""COMPUTED_VALUE"""),"select_one yes_no")</f>
        <v>0</v>
      </c>
    </row>
    <row r="133" spans="1:8">
      <c r="A133">
        <f>IFERROR(__xludf.DUMMYFUNCTION("""COMPUTED_VALUE"""),"10. Waste disposal of contaminated HCW in Yellow Bins with lid and foot pedal, lined with bag and not full")</f>
        <v>0</v>
      </c>
      <c r="B133">
        <f>IFERROR(7H</f>
        <v>0</v>
      </c>
      <c r="D133">
        <f>IFERROR(__xludf.DUMMYFUNCTION("""COMPUTED_VALUE"""),"10. Waste disposal of contaminated HCW in Yellow Bins with lid and foot pedal, lined with bag and not full")</f>
        <v>0</v>
      </c>
      <c r="H133">
        <f>IFERROR(__xludf.DUMMYFUNCTION("""COMPUTED_VALUE"""),"select_one yes_no")</f>
        <v>0</v>
      </c>
    </row>
    <row r="134" spans="1:8">
      <c r="A134">
        <f>IFERROR(__xludf.DUMMYFUNCTION("""COMPUTED_VALUE"""),"11. Waste disposal of organically HCW in Red Bins with lid and foot pedal, lined with bag and not full")</f>
        <v>0</v>
      </c>
      <c r="B134">
        <f>IFERROR(8M</f>
        <v>0</v>
      </c>
      <c r="D134">
        <f>IFERROR(__xludf.DUMMYFUNCTION("""COMPUTED_VALUE"""),"11. Waste disposal of organically HCW in Red Bins with lid and foot pedal, lined with bag and not full")</f>
        <v>0</v>
      </c>
      <c r="H134">
        <f>IFERROR(__xludf.DUMMYFUNCTION("""COMPUTED_VALUE"""),"select_one yes_no")</f>
        <v>0</v>
      </c>
    </row>
    <row r="135" spans="1:8">
      <c r="A135">
        <f>IFERROR(__xludf.DUMMYFUNCTION("""COMPUTED_VALUE"""),"12. Protective gear for personnel managing HCW available; boots, plastic shorts, thick plastic/rubber gloves and a trolley to transport the HCW")</f>
        <v>0</v>
      </c>
      <c r="B135">
        <f>IFERROR(4D</f>
        <v>0</v>
      </c>
      <c r="D135">
        <f>IFERROR(__xludf.DUMMYFUNCTION("""COMPUTED_VALUE"""),"12. Protective gear for personnel managing HCW available; boots, plastic shorts, thick plastic/rubber gloves and a trolley to transport the HCW")</f>
        <v>0</v>
      </c>
      <c r="H135">
        <f>IFERROR(__xludf.DUMMYFUNCTION("""COMPUTED_VALUE"""),"select_one yes_no")</f>
        <v>0</v>
      </c>
    </row>
    <row r="136" spans="1:8">
      <c r="A136">
        <f>IFERROR(__xludf.DUMMYFUNCTION("""COMPUTED_VALUE"""),"13. Rodent and Pest Control")</f>
        <v>0</v>
      </c>
      <c r="B136">
        <f>IFERROR(6P</f>
        <v>0</v>
      </c>
      <c r="D136">
        <f>IFERROR(__xludf.DUMMYFUNCTION("""COMPUTED_VALUE"""),"13. Rodent and Pest Control")</f>
        <v>0</v>
      </c>
      <c r="H136">
        <f>IFERROR(__xludf.DUMMYFUNCTION("""COMPUTED_VALUE"""),"select_one yes0_no0")</f>
        <v>0</v>
      </c>
    </row>
    <row r="137" spans="1:8">
      <c r="A137">
        <f>IFERROR(__xludf.DUMMYFUNCTION("""COMPUTED_VALUE"""),"5.0 Key comments")</f>
        <v>0</v>
      </c>
      <c r="B137">
        <f>IFERROR(6X</f>
        <v>0</v>
      </c>
      <c r="D137">
        <f>IFERROR(__xludf.DUMMYFUNCTION("""COMPUTED_VALUE"""),"5.0 Key comments")</f>
        <v>0</v>
      </c>
      <c r="H137">
        <f>IFERROR(__xludf.DUMMYFUNCTION("""COMPUTED_VALUE"""),"text")</f>
        <v>0</v>
      </c>
    </row>
    <row r="138" spans="1:8">
      <c r="A138">
        <f>IFERROR(__xludf.DUMMYFUNCTION("""COMPUTED_VALUE"""),"5.0 Action Plan")</f>
        <v>0</v>
      </c>
      <c r="B138">
        <f>IFERROR(2P</f>
        <v>0</v>
      </c>
      <c r="D138">
        <f>IFERROR(__xludf.DUMMYFUNCTION("""COMPUTED_VALUE"""),"5.0 Action Plan")</f>
        <v>0</v>
      </c>
      <c r="H138">
        <f>IFERROR(__xludf.DUMMYFUNCTION("""COMPUTED_VALUE"""),"text")</f>
        <v>0</v>
      </c>
    </row>
    <row r="139" spans="1:8">
      <c r="A139">
        <f>IFERROR(__xludf.DUMMYFUNCTION("""COMPUTED_VALUE"""),"")</f>
        <v>0</v>
      </c>
      <c r="B139">
        <f>IFERROR(2m</f>
        <v>0</v>
      </c>
      <c r="D139">
        <f>IFERROR(__xludf.DUMMYFUNCTION("""COMPUTED_VALUE"""),"")</f>
        <v>0</v>
      </c>
      <c r="H139">
        <f>IFERROR(__xludf.DUMMYFUNCTION("""COMPUTED_VALUE"""),"calculate")</f>
        <v>0</v>
      </c>
    </row>
    <row r="140" spans="1:8">
      <c r="A140">
        <f>IFERROR(__xludf.DUMMYFUNCTION("""COMPUTED_VALUE"""),"5.1 Presence of sufficient showers which are well-maintained")</f>
        <v>0</v>
      </c>
      <c r="B140">
        <f>IFERROR(4G</f>
        <v>0</v>
      </c>
      <c r="D140">
        <f>IFERROR(__xludf.DUMMYFUNCTION("""COMPUTED_VALUE"""),"5.1 Presence of sufficient showers which are well-maintained")</f>
        <v>0</v>
      </c>
      <c r="H140">
        <f>IFERROR(__xludf.DUMMYFUNCTION("""COMPUTED_VALUE"""),"begin_group")</f>
        <v>0</v>
      </c>
    </row>
    <row r="141" spans="1:8">
      <c r="A141">
        <f>IFERROR(__xludf.DUMMYFUNCTION("""COMPUTED_VALUE"""),"1.One shower for staff in addition to one shower per ten beds")</f>
        <v>0</v>
      </c>
      <c r="B141">
        <f>IFERROR(4E</f>
        <v>0</v>
      </c>
      <c r="D141">
        <f>IFERROR(__xludf.DUMMYFUNCTION("""COMPUTED_VALUE"""),"1.One shower for staff in addition to one shower per ten beds")</f>
        <v>0</v>
      </c>
      <c r="H141">
        <f>IFERROR(__xludf.DUMMYFUNCTION("""COMPUTED_VALUE"""),"select_one yes1_no0")</f>
        <v>0</v>
      </c>
    </row>
    <row r="142" spans="1:8">
      <c r="A142">
        <f>IFERROR(__xludf.DUMMYFUNCTION("""COMPUTED_VALUE"""),"2. Shower with running water, or container with at the least 20 L of water and cup for scooping")</f>
        <v>0</v>
      </c>
      <c r="B142">
        <f>IFERROR(3q</f>
        <v>0</v>
      </c>
      <c r="D142">
        <f>IFERROR(__xludf.DUMMYFUNCTION("""COMPUTED_VALUE"""),"2. Shower with running water, or container with at the least 20 L of water and cup for scooping")</f>
        <v>0</v>
      </c>
      <c r="H142">
        <f>IFERROR(__xludf.DUMMYFUNCTION("""COMPUTED_VALUE"""),"select_one yes1_no0")</f>
        <v>0</v>
      </c>
    </row>
    <row r="143" spans="1:8">
      <c r="A143">
        <f>IFERROR(__xludf.DUMMYFUNCTION("""COMPUTED_VALUE"""),"3. Door lockable from the inside but not from the outside, super structure with roofing, without flies (mosquito screening), floor clean")</f>
        <v>0</v>
      </c>
      <c r="B143">
        <f>IFERROR(0Q</f>
        <v>0</v>
      </c>
      <c r="D143">
        <f>IFERROR(__xludf.DUMMYFUNCTION("""COMPUTED_VALUE"""),"3. Door lockable from the inside but not from the outside, super structure with roofing, without flies (mosquito screening), floor clean")</f>
        <v>0</v>
      </c>
      <c r="H143">
        <f>IFERROR(__xludf.DUMMYFUNCTION("""COMPUTED_VALUE"""),"select_one yes1_no0")</f>
        <v>0</v>
      </c>
    </row>
    <row r="144" spans="1:8">
      <c r="A144">
        <f>IFERROR(__xludf.DUMMYFUNCTION("""COMPUTED_VALUE"""),"4. Functional lighting")</f>
        <v>0</v>
      </c>
      <c r="B144">
        <f>IFERROR(8T</f>
        <v>0</v>
      </c>
      <c r="D144">
        <f>IFERROR(__xludf.DUMMYFUNCTION("""COMPUTED_VALUE"""),"4. Functional lighting")</f>
        <v>0</v>
      </c>
      <c r="H144">
        <f>IFERROR(__xludf.DUMMYFUNCTION("""COMPUTED_VALUE"""),"select_one yes1_no0")</f>
        <v>0</v>
      </c>
    </row>
    <row r="145" spans="1:8">
      <c r="A145">
        <f>IFERROR(__xludf.DUMMYFUNCTION("""COMPUTED_VALUE"""),"5. Cleaning schedule next to shower and shower smells of disinfectant or deodorant")</f>
        <v>0</v>
      </c>
      <c r="B145">
        <f>IFERROR(6C</f>
        <v>0</v>
      </c>
      <c r="D145">
        <f>IFERROR(__xludf.DUMMYFUNCTION("""COMPUTED_VALUE"""),"5. Cleaning schedule next to shower and shower smells of disinfectant or deodorant")</f>
        <v>0</v>
      </c>
      <c r="H145">
        <f>IFERROR(__xludf.DUMMYFUNCTION("""COMPUTED_VALUE"""),"select_one yes1_no0")</f>
        <v>0</v>
      </c>
    </row>
    <row r="146" spans="1:8">
      <c r="A146">
        <f>IFERROR(__xludf.DUMMYFUNCTION("""COMPUTED_VALUE"""),"5.1 Key comments")</f>
        <v>0</v>
      </c>
      <c r="B146">
        <f>IFERROR(1i</f>
        <v>0</v>
      </c>
      <c r="D146">
        <f>IFERROR(__xludf.DUMMYFUNCTION("""COMPUTED_VALUE"""),"5.1 Key comments")</f>
        <v>0</v>
      </c>
      <c r="H146">
        <f>IFERROR(__xludf.DUMMYFUNCTION("""COMPUTED_VALUE"""),"text")</f>
        <v>0</v>
      </c>
    </row>
    <row r="147" spans="1:8">
      <c r="A147">
        <f>IFERROR(__xludf.DUMMYFUNCTION("""COMPUTED_VALUE"""),"5.1 Action Plan")</f>
        <v>0</v>
      </c>
      <c r="B147">
        <f>IFERROR(9e</f>
        <v>0</v>
      </c>
      <c r="D147">
        <f>IFERROR(__xludf.DUMMYFUNCTION("""COMPUTED_VALUE"""),"5.1 Action Plan")</f>
        <v>0</v>
      </c>
      <c r="H147">
        <f>IFERROR(__xludf.DUMMYFUNCTION("""COMPUTED_VALUE"""),"text")</f>
        <v>0</v>
      </c>
    </row>
    <row r="148" spans="1:8">
      <c r="A148">
        <f>IFERROR(__xludf.DUMMYFUNCTION("""COMPUTED_VALUE"""),"")</f>
        <v>0</v>
      </c>
      <c r="B148">
        <f>IFERROR(0F</f>
        <v>0</v>
      </c>
      <c r="D148">
        <f>IFERROR(__xludf.DUMMYFUNCTION("""COMPUTED_VALUE"""),"")</f>
        <v>0</v>
      </c>
      <c r="H148">
        <f>IFERROR(__xludf.DUMMYFUNCTION("""COMPUTED_VALUE"""),"calculate")</f>
        <v>0</v>
      </c>
    </row>
    <row r="149" spans="1:8">
      <c r="A149">
        <f>IFERROR(__xludf.DUMMYFUNCTION("""COMPUTED_VALUE"""),"")</f>
        <v>0</v>
      </c>
      <c r="B149">
        <f>IFERROR00L</f>
        <v>0</v>
      </c>
      <c r="D149">
        <f>IFERROR(__xludf.DUMMYFUNCTION("""COMPUTED_VALUE"""),"")</f>
        <v>0</v>
      </c>
      <c r="H149">
        <f>IFERROR(__xludf.DUMMYFUNCTION("""COMPUTED_VALUE"""),"end_group")</f>
        <v>0</v>
      </c>
    </row>
    <row r="150" spans="1:8">
      <c r="A150">
        <f>IFERROR(__xludf.DUMMYFUNCTION("""COMPUTED_VALUE"""),"5.2 Presence of sufficient latrines/toilets which are well-maintained (except riverine areas)")</f>
        <v>0</v>
      </c>
      <c r="B150">
        <f>IFERROR(2p</f>
        <v>0</v>
      </c>
      <c r="D150">
        <f>IFERROR(__xludf.DUMMYFUNCTION("""COMPUTED_VALUE"""),"5.2 Presence of sufficient latrines/toilets which are well-maintained (except riverine areas)")</f>
        <v>0</v>
      </c>
      <c r="H150">
        <f>IFERROR(__xludf.DUMMYFUNCTION("""COMPUTED_VALUE"""),"begin_group")</f>
        <v>0</v>
      </c>
    </row>
    <row r="151" spans="1:8">
      <c r="A151">
        <f>IFERROR(__xludf.DUMMYFUNCTION("""COMPUTED_VALUE"""),"1. At least four water closet functional latrines/toilets (either the flushable squatting closet or the sitting closet) two for staff: Male and female, two for patients: Male and female")</f>
        <v>0</v>
      </c>
      <c r="B151">
        <f>IFERROR(1o</f>
        <v>0</v>
      </c>
      <c r="D151">
        <f>IFERROR(__xludf.DUMMYFUNCTION("""COMPUTED_VALUE"""),"1. At least four water closet functional latrines/toilets (either the flushable squatting closet or the sitting closet) two for staff: Male and female, two for patients: Male and female")</f>
        <v>0</v>
      </c>
      <c r="H151">
        <f>IFERROR(__xludf.DUMMYFUNCTION("""COMPUTED_VALUE"""),"select_one yes1_no0")</f>
        <v>0</v>
      </c>
    </row>
    <row r="152" spans="1:8">
      <c r="A152">
        <f>IFERROR(__xludf.DUMMYFUNCTION("""COMPUTED_VALUE"""),"2. Floor without fissures")</f>
        <v>0</v>
      </c>
      <c r="B152">
        <f>IFERROR(8l</f>
        <v>0</v>
      </c>
      <c r="D152">
        <f>IFERROR(__xludf.DUMMYFUNCTION("""COMPUTED_VALUE"""),"2. Floor without fissures")</f>
        <v>0</v>
      </c>
      <c r="H152">
        <f>IFERROR(__xludf.DUMMYFUNCTION("""COMPUTED_VALUE"""),"select_one yes1_no0")</f>
        <v>0</v>
      </c>
    </row>
    <row r="153" spans="1:8">
      <c r="A153">
        <f>IFERROR(__xludf.DUMMYFUNCTION("""COMPUTED_VALUE"""),"3. Recently cleaned toilet/latrine without visible fecal matter")</f>
        <v>0</v>
      </c>
      <c r="B153">
        <f>IFERROR(2P</f>
        <v>0</v>
      </c>
      <c r="D153">
        <f>IFERROR(__xludf.DUMMYFUNCTION("""COMPUTED_VALUE"""),"3. Recently cleaned toilet/latrine without visible fecal matter")</f>
        <v>0</v>
      </c>
      <c r="H153">
        <f>IFERROR(__xludf.DUMMYFUNCTION("""COMPUTED_VALUE"""),"select_one yes1_no0")</f>
        <v>0</v>
      </c>
    </row>
    <row r="154" spans="1:8">
      <c r="A154">
        <f>IFERROR(__xludf.DUMMYFUNCTION("""COMPUTED_VALUE"""),"4. Door lockable from the inside but not from the outside, ceiling, super structure with roofing, without flies (mosquito screening) and no smell")</f>
        <v>0</v>
      </c>
      <c r="B154">
        <f>IFERROR(3F</f>
        <v>0</v>
      </c>
      <c r="D154">
        <f>IFERROR(__xludf.DUMMYFUNCTION("""COMPUTED_VALUE"""),"4. Door lockable from the inside but not from the outside, ceiling, super structure with roofing, without flies (mosquito screening) and no smell")</f>
        <v>0</v>
      </c>
      <c r="H154">
        <f>IFERROR(__xludf.DUMMYFUNCTION("""COMPUTED_VALUE"""),"select_one yes1_no0")</f>
        <v>0</v>
      </c>
    </row>
    <row r="155" spans="1:8">
      <c r="A155">
        <f>IFERROR(__xludf.DUMMYFUNCTION("""COMPUTED_VALUE"""),"5. Functional lighting")</f>
        <v>0</v>
      </c>
      <c r="B155">
        <f>IFERROR(2X</f>
        <v>0</v>
      </c>
      <c r="D155">
        <f>IFERROR(__xludf.DUMMYFUNCTION("""COMPUTED_VALUE"""),"5. Functional lighting")</f>
        <v>0</v>
      </c>
      <c r="H155">
        <f>IFERROR(__xludf.DUMMYFUNCTION("""COMPUTED_VALUE"""),"select_one yes1_no0")</f>
        <v>0</v>
      </c>
    </row>
    <row r="156" spans="1:8">
      <c r="A156">
        <f>IFERROR(__xludf.DUMMYFUNCTION("""COMPUTED_VALUE"""),"6. Water container with at the least 20L of water OR functioning tap and soap for hand washing available for each toilet block")</f>
        <v>0</v>
      </c>
      <c r="B156">
        <f>IFERROR(5o</f>
        <v>0</v>
      </c>
      <c r="D156">
        <f>IFERROR(__xludf.DUMMYFUNCTION("""COMPUTED_VALUE"""),"6. Water container with at the least 20L of water OR functioning tap and soap for hand washing available for each toilet block")</f>
        <v>0</v>
      </c>
      <c r="H156">
        <f>IFERROR(__xludf.DUMMYFUNCTION("""COMPUTED_VALUE"""),"select_one yes1_no0")</f>
        <v>0</v>
      </c>
    </row>
    <row r="157" spans="1:8">
      <c r="A157">
        <f>IFERROR(__xludf.DUMMYFUNCTION("""COMPUTED_VALUE"""),"7. Cleaning schedule next to toilet")</f>
        <v>0</v>
      </c>
      <c r="B157">
        <f>IFERROR(0C</f>
        <v>0</v>
      </c>
      <c r="D157">
        <f>IFERROR(__xludf.DUMMYFUNCTION("""COMPUTED_VALUE"""),"7. Cleaning schedule next to toilet")</f>
        <v>0</v>
      </c>
      <c r="H157">
        <f>IFERROR(__xludf.DUMMYFUNCTION("""COMPUTED_VALUE"""),"select_one yes1_no0")</f>
        <v>0</v>
      </c>
    </row>
    <row r="158" spans="1:8">
      <c r="A158">
        <f>IFERROR(__xludf.DUMMYFUNCTION("""COMPUTED_VALUE"""),"5.2 Key comments")</f>
        <v>0</v>
      </c>
      <c r="B158">
        <f>IFERROR(0L</f>
        <v>0</v>
      </c>
      <c r="D158">
        <f>IFERROR(__xludf.DUMMYFUNCTION("""COMPUTED_VALUE"""),"5.2 Key comments")</f>
        <v>0</v>
      </c>
      <c r="H158">
        <f>IFERROR(__xludf.DUMMYFUNCTION("""COMPUTED_VALUE"""),"text")</f>
        <v>0</v>
      </c>
    </row>
    <row r="159" spans="1:8">
      <c r="A159">
        <f>IFERROR(__xludf.DUMMYFUNCTION("""COMPUTED_VALUE"""),"5.2 Action Plan")</f>
        <v>0</v>
      </c>
      <c r="B159">
        <f>IFERROR(7f</f>
        <v>0</v>
      </c>
      <c r="D159">
        <f>IFERROR(__xludf.DUMMYFUNCTION("""COMPUTED_VALUE"""),"5.2 Action Plan")</f>
        <v>0</v>
      </c>
      <c r="H159">
        <f>IFERROR(__xludf.DUMMYFUNCTION("""COMPUTED_VALUE"""),"text")</f>
        <v>0</v>
      </c>
    </row>
    <row r="160" spans="1:8">
      <c r="A160">
        <f>IFERROR(__xludf.DUMMYFUNCTION("""COMPUTED_VALUE"""),"")</f>
        <v>0</v>
      </c>
      <c r="B160">
        <f>IFERROR(5G</f>
        <v>0</v>
      </c>
      <c r="D160">
        <f>IFERROR(__xludf.DUMMYFUNCTION("""COMPUTED_VALUE"""),"")</f>
        <v>0</v>
      </c>
      <c r="H160">
        <f>IFERROR(__xludf.DUMMYFUNCTION("""COMPUTED_VALUE"""),"calculate")</f>
        <v>0</v>
      </c>
    </row>
    <row r="161" spans="1:8">
      <c r="A161">
        <f>IFERROR(__xludf.DUMMYFUNCTION("""COMPUTED_VALUE"""),"")</f>
        <v>0</v>
      </c>
      <c r="B161">
        <f>IFERROR(5E</f>
        <v>0</v>
      </c>
      <c r="D161">
        <f>IFERROR(__xludf.DUMMYFUNCTION("""COMPUTED_VALUE"""),"")</f>
        <v>0</v>
      </c>
      <c r="H161">
        <f>IFERROR(__xludf.DUMMYFUNCTION("""COMPUTED_VALUE"""),"calculate")</f>
        <v>0</v>
      </c>
    </row>
    <row r="162" spans="1:8">
      <c r="A162">
        <f>IFERROR(__xludf.DUMMYFUNCTION("""COMPUTED_VALUE"""),"")</f>
        <v>0</v>
      </c>
      <c r="B162">
        <f>IFERROR06O</f>
        <v>0</v>
      </c>
      <c r="D162">
        <f>IFERROR(__xludf.DUMMYFUNCTION("""COMPUTED_VALUE"""),"")</f>
        <v>0</v>
      </c>
      <c r="H162">
        <f>IFERROR(__xludf.DUMMYFUNCTION("""COMPUTED_VALUE"""),"end_group")</f>
        <v>0</v>
      </c>
    </row>
    <row r="163" spans="1:8">
      <c r="A163">
        <f>IFERROR(__xludf.DUMMYFUNCTION("""COMPUTED_VALUE"""),"")</f>
        <v>0</v>
      </c>
      <c r="B163">
        <f>IFERROR05H</f>
        <v>0</v>
      </c>
      <c r="D163">
        <f>IFERROR(__xludf.DUMMYFUNCTION("""COMPUTED_VALUE"""),"")</f>
        <v>0</v>
      </c>
      <c r="H163">
        <f>IFERROR(__xludf.DUMMYFUNCTION("""COMPUTED_VALUE"""),"end_group")</f>
        <v>0</v>
      </c>
    </row>
    <row r="164" spans="1:8">
      <c r="A164">
        <f>IFERROR(__xludf.DUMMYFUNCTION("""COMPUTED_VALUE"""),"Section 6. Curative Consultations")</f>
        <v>0</v>
      </c>
      <c r="B164">
        <f>IFERROR(2z</f>
        <v>0</v>
      </c>
      <c r="D164">
        <f>IFERROR(__xludf.DUMMYFUNCTION("""COMPUTED_VALUE"""),"Section 6. Curative Consultations")</f>
        <v>0</v>
      </c>
      <c r="H164">
        <f>IFERROR(__xludf.DUMMYFUNCTION("""COMPUTED_VALUE"""),"begin_group")</f>
        <v>0</v>
      </c>
    </row>
    <row r="165" spans="1:8">
      <c r="A165">
        <f>IFERROR(__xludf.DUMMYFUNCTION("""COMPUTED_VALUE"""),"1. Good conditions in waiting area")</f>
        <v>0</v>
      </c>
      <c r="B165">
        <f>IFERROR(3u</f>
        <v>0</v>
      </c>
      <c r="D165">
        <f>IFERROR(__xludf.DUMMYFUNCTION("""COMPUTED_VALUE"""),"1. Good conditions in waiting area")</f>
        <v>0</v>
      </c>
      <c r="H165">
        <f>IFERROR(__xludf.DUMMYFUNCTION("""COMPUTED_VALUE"""),"select_one yes1_no0")</f>
        <v>0</v>
      </c>
    </row>
    <row r="166" spans="1:8">
      <c r="A166">
        <f>IFERROR(__xludf.DUMMYFUNCTION("""COMPUTED_VALUE"""),"2. Unit fees of drugs displayed to the public")</f>
        <v>0</v>
      </c>
      <c r="B166">
        <f>IFERROR(0h</f>
        <v>0</v>
      </c>
      <c r="D166">
        <f>IFERROR(__xludf.DUMMYFUNCTION("""COMPUTED_VALUE"""),"2. Unit fees of drugs displayed to the public")</f>
        <v>0</v>
      </c>
      <c r="H166">
        <f>IFERROR(__xludf.DUMMYFUNCTION("""COMPUTED_VALUE"""),"select_one yes5_no0")</f>
        <v>0</v>
      </c>
    </row>
    <row r="167" spans="1:8">
      <c r="A167">
        <f>IFERROR(__xludf.DUMMYFUNCTION("""COMPUTED_VALUE"""),"3. Existence of waiting card system with numbers")</f>
        <v>0</v>
      </c>
      <c r="B167">
        <f>IFERROR(1s</f>
        <v>0</v>
      </c>
      <c r="D167">
        <f>IFERROR(__xludf.DUMMYFUNCTION("""COMPUTED_VALUE"""),"3. Existence of waiting card system with numbers")</f>
        <v>0</v>
      </c>
      <c r="H167">
        <f>IFERROR(__xludf.DUMMYFUNCTION("""COMPUTED_VALUE"""),"select_one yes5_no0")</f>
        <v>0</v>
      </c>
    </row>
    <row r="168" spans="1:8">
      <c r="A168">
        <f>IFERROR(__xludf.DUMMYFUNCTION("""COMPUTED_VALUE"""),"4 Consultation room in good condition")</f>
        <v>0</v>
      </c>
      <c r="B168">
        <f>IFERROR(3d</f>
        <v>0</v>
      </c>
      <c r="D168">
        <f>IFERROR(__xludf.DUMMYFUNCTION("""COMPUTED_VALUE"""),"4 Consultation room in good condition")</f>
        <v>0</v>
      </c>
      <c r="H168">
        <f>IFERROR(__xludf.DUMMYFUNCTION("""COMPUTED_VALUE"""),"select_one yes5_no0")</f>
        <v>0</v>
      </c>
    </row>
    <row r="169" spans="1:8">
      <c r="A169">
        <f>IFERROR(__xludf.DUMMYFUNCTION("""COMPUTED_VALUE"""),"5. Walls with durable materials well painted, floor paved with cement without fissures, undamaged ceiling")</f>
        <v>0</v>
      </c>
      <c r="B169">
        <f>IFERROR(7m</f>
        <v>0</v>
      </c>
      <c r="D169">
        <f>IFERROR(__xludf.DUMMYFUNCTION("""COMPUTED_VALUE"""),"5. Walls with durable materials well painted, floor paved with cement without fissures, undamaged ceiling")</f>
        <v>0</v>
      </c>
      <c r="H169">
        <f>IFERROR(__xludf.DUMMYFUNCTION("""COMPUTED_VALUE"""),"select_one yes_no")</f>
        <v>0</v>
      </c>
    </row>
    <row r="170" spans="1:8">
      <c r="A170">
        <f>IFERROR(__xludf.DUMMYFUNCTION("""COMPUTED_VALUE"""),"6. Consultation room and waiting space separated assuring confidentiality")</f>
        <v>0</v>
      </c>
      <c r="B170">
        <f>IFERROR(9t</f>
        <v>0</v>
      </c>
      <c r="D170">
        <f>IFERROR(__xludf.DUMMYFUNCTION("""COMPUTED_VALUE"""),"6. Consultation room and waiting space separated assuring confidentiality")</f>
        <v>0</v>
      </c>
      <c r="H170">
        <f>IFERROR(__xludf.DUMMYFUNCTION("""COMPUTED_VALUE"""),"select_one yes_no")</f>
        <v>0</v>
      </c>
    </row>
    <row r="171" spans="1:8">
      <c r="A171">
        <f>IFERROR(__xludf.DUMMYFUNCTION("""COMPUTED_VALUE"""),"7. Windows with curtains")</f>
        <v>0</v>
      </c>
      <c r="B171">
        <f>IFERROR(0V</f>
        <v>0</v>
      </c>
      <c r="D171">
        <f>IFERROR(__xludf.DUMMYFUNCTION("""COMPUTED_VALUE"""),"7. Windows with curtains")</f>
        <v>0</v>
      </c>
      <c r="H171">
        <f>IFERROR(__xludf.DUMMYFUNCTION("""COMPUTED_VALUE"""),"select_one yes_no")</f>
        <v>0</v>
      </c>
    </row>
    <row r="172" spans="1:8">
      <c r="A172">
        <f>IFERROR(__xludf.DUMMYFUNCTION("""COMPUTED_VALUE"""),"8. Functional door with functioning lock")</f>
        <v>0</v>
      </c>
      <c r="B172">
        <f>IFERROR(9Y</f>
        <v>0</v>
      </c>
      <c r="D172">
        <f>IFERROR(__xludf.DUMMYFUNCTION("""COMPUTED_VALUE"""),"8. Functional door with functioning lock")</f>
        <v>0</v>
      </c>
      <c r="H172">
        <f>IFERROR(__xludf.DUMMYFUNCTION("""COMPUTED_VALUE"""),"select_one yes_no")</f>
        <v>0</v>
      </c>
    </row>
    <row r="173" spans="1:8">
      <c r="A173">
        <f>IFERROR(__xludf.DUMMYFUNCTION("""COMPUTED_VALUE"""),"9. Running water (tap or water dispenser) with liquid soap and clean towel available and used between patients")</f>
        <v>0</v>
      </c>
      <c r="B173">
        <f>IFERROR(0o</f>
        <v>0</v>
      </c>
      <c r="D173">
        <f>IFERROR(__xludf.DUMMYFUNCTION("""COMPUTED_VALUE"""),"9. Running water (tap or water dispenser) with liquid soap and clean towel available and used between patients")</f>
        <v>0</v>
      </c>
      <c r="H173">
        <f>IFERROR(__xludf.DUMMYFUNCTION("""COMPUTED_VALUE"""),"select_one yes_no")</f>
        <v>0</v>
      </c>
    </row>
    <row r="174" spans="1:8">
      <c r="A174">
        <f>IFERROR(__xludf.DUMMYFUNCTION("""COMPUTED_VALUE"""),"10. Consultation room (where emergencies are received) has light around the clock (24/7)")</f>
        <v>0</v>
      </c>
      <c r="B174">
        <f>IFERROR(2R</f>
        <v>0</v>
      </c>
      <c r="D174">
        <f>IFERROR(__xludf.DUMMYFUNCTION("""COMPUTED_VALUE"""),"10. Consultation room (where emergencies are received) has light around the clock (24/7)")</f>
        <v>0</v>
      </c>
      <c r="H174">
        <f>IFERROR(__xludf.DUMMYFUNCTION("""COMPUTED_VALUE"""),"select_one yes1_no0")</f>
        <v>0</v>
      </c>
    </row>
    <row r="175" spans="1:8">
      <c r="A175">
        <f>IFERROR(__xludf.DUMMYFUNCTION("""COMPUTED_VALUE"""),"11. Consultations are done by skilled staff")</f>
        <v>0</v>
      </c>
      <c r="B175">
        <f>IFERROR(9g</f>
        <v>0</v>
      </c>
      <c r="D175">
        <f>IFERROR(__xludf.DUMMYFUNCTION("""COMPUTED_VALUE"""),"11. Consultations are done by skilled staff")</f>
        <v>0</v>
      </c>
      <c r="H175">
        <f>IFERROR(__xludf.DUMMYFUNCTION("""COMPUTED_VALUE"""),"select_one yes1_no0")</f>
        <v>0</v>
      </c>
    </row>
    <row r="176" spans="1:8">
      <c r="A176">
        <f>IFERROR(__xludf.DUMMYFUNCTION("""COMPUTED_VALUE"""),"12. Consulting staff is well-dressed")</f>
        <v>0</v>
      </c>
      <c r="B176">
        <f>IFERROR(3d</f>
        <v>0</v>
      </c>
      <c r="D176">
        <f>IFERROR(__xludf.DUMMYFUNCTION("""COMPUTED_VALUE"""),"12. Consulting staff is well-dressed")</f>
        <v>0</v>
      </c>
      <c r="H176">
        <f>IFERROR(__xludf.DUMMYFUNCTION("""COMPUTED_VALUE"""),"select_one yes1_no0")</f>
        <v>0</v>
      </c>
    </row>
    <row r="177" spans="1:8">
      <c r="A177">
        <f>IFERROR(__xludf.DUMMYFUNCTION("""COMPUTED_VALUE"""),"13. Correct numbering of registers")</f>
        <v>0</v>
      </c>
      <c r="B177">
        <f>IFERROR(9s</f>
        <v>0</v>
      </c>
      <c r="D177">
        <f>IFERROR(__xludf.DUMMYFUNCTION("""COMPUTED_VALUE"""),"13. Correct numbering of registers")</f>
        <v>0</v>
      </c>
      <c r="H177">
        <f>IFERROR(__xludf.DUMMYFUNCTION("""COMPUTED_VALUE"""),"select_one yes1_no0")</f>
        <v>0</v>
      </c>
    </row>
    <row r="178" spans="1:8">
      <c r="A178">
        <f>IFERROR(__xludf.DUMMYFUNCTION("""COMPUTED_VALUE"""),"14. Service availability seven out of seven days 24/7")</f>
        <v>0</v>
      </c>
      <c r="B178">
        <f>IFERROR(1Q</f>
        <v>0</v>
      </c>
      <c r="D178">
        <f>IFERROR(__xludf.DUMMYFUNCTION("""COMPUTED_VALUE"""),"14. Service availability seven out of seven days 24/7")</f>
        <v>0</v>
      </c>
      <c r="H178">
        <f>IFERROR(__xludf.DUMMYFUNCTION("""COMPUTED_VALUE"""),"select_one yes1_no0")</f>
        <v>0</v>
      </c>
    </row>
    <row r="179" spans="1:8">
      <c r="A179">
        <f>IFERROR(__xludf.DUMMYFUNCTION("""COMPUTED_VALUE"""),"15. Malaria protocol put on wall and accessible for staff")</f>
        <v>0</v>
      </c>
      <c r="B179">
        <f>IFERROR(0w</f>
        <v>0</v>
      </c>
      <c r="D179">
        <f>IFERROR(__xludf.DUMMYFUNCTION("""COMPUTED_VALUE"""),"15. Malaria protocol put on wall and accessible for staff")</f>
        <v>0</v>
      </c>
      <c r="H179">
        <f>IFERROR(__xludf.DUMMYFUNCTION("""COMPUTED_VALUE"""),"select_one yes1_no0")</f>
        <v>0</v>
      </c>
    </row>
    <row r="180" spans="1:8">
      <c r="A180">
        <f>IFERROR(__xludf.DUMMYFUNCTION("""COMPUTED_VALUE"""),"16. Simple (acute) malaria correctly treated")</f>
        <v>0</v>
      </c>
      <c r="B180">
        <f>IFERROR(5j</f>
        <v>0</v>
      </c>
      <c r="D180">
        <f>IFERROR(__xludf.DUMMYFUNCTION("""COMPUTED_VALUE"""),"16. Simple (acute) malaria correctly treated")</f>
        <v>0</v>
      </c>
      <c r="H180">
        <f>IFERROR(__xludf.DUMMYFUNCTION("""COMPUTED_VALUE"""),"select_one yes5_no0")</f>
        <v>0</v>
      </c>
    </row>
    <row r="181" spans="1:8">
      <c r="A181">
        <f>IFERROR(__xludf.DUMMYFUNCTION("""COMPUTED_VALUE"""),"17. Severe malaria correctly treated")</f>
        <v>0</v>
      </c>
      <c r="B181">
        <f>IFERROR(5o</f>
        <v>0</v>
      </c>
      <c r="D181">
        <f>IFERROR(__xludf.DUMMYFUNCTION("""COMPUTED_VALUE"""),"17. Severe malaria correctly treated")</f>
        <v>0</v>
      </c>
      <c r="H181">
        <f>IFERROR(__xludf.DUMMYFUNCTION("""COMPUTED_VALUE"""),"select_one yes5_no0")</f>
        <v>0</v>
      </c>
    </row>
    <row r="182" spans="1:8">
      <c r="A182">
        <f>IFERROR(__xludf.DUMMYFUNCTION("""COMPUTED_VALUE"""),"18. WHO flow diagram for ARI put on wall and accessible for staff")</f>
        <v>0</v>
      </c>
      <c r="B182">
        <f>IFERROR(6k</f>
        <v>0</v>
      </c>
      <c r="D182">
        <f>IFERROR(__xludf.DUMMYFUNCTION("""COMPUTED_VALUE"""),"18. WHO flow diagram for ARI put on wall and accessible for staff")</f>
        <v>0</v>
      </c>
      <c r="H182">
        <f>IFERROR(__xludf.DUMMYFUNCTION("""COMPUTED_VALUE"""),"select_one yes1_no0")</f>
        <v>0</v>
      </c>
    </row>
    <row r="183" spans="1:8">
      <c r="A183">
        <f>IFERROR(__xludf.DUMMYFUNCTION("""COMPUTED_VALUE"""),"19. ARI protocol applied")</f>
        <v>0</v>
      </c>
      <c r="B183">
        <f>IFERROR(4l</f>
        <v>0</v>
      </c>
      <c r="D183">
        <f>IFERROR(__xludf.DUMMYFUNCTION("""COMPUTED_VALUE"""),"19. ARI protocol applied")</f>
        <v>0</v>
      </c>
      <c r="H183">
        <f>IFERROR(__xludf.DUMMYFUNCTION("""COMPUTED_VALUE"""),"select_one yes5_no0")</f>
        <v>0</v>
      </c>
    </row>
    <row r="184" spans="1:8">
      <c r="A184">
        <f>IFERROR(__xludf.DUMMYFUNCTION("""COMPUTED_VALUE"""),"20. WHO protocol for Diarrhea put on wall and accessible for staff")</f>
        <v>0</v>
      </c>
      <c r="B184">
        <f>IFERROR(9O</f>
        <v>0</v>
      </c>
      <c r="D184">
        <f>IFERROR(__xludf.DUMMYFUNCTION("""COMPUTED_VALUE"""),"20. WHO protocol for Diarrhea put on wall and accessible for staff")</f>
        <v>0</v>
      </c>
      <c r="H184">
        <f>IFERROR(__xludf.DUMMYFUNCTION("""COMPUTED_VALUE"""),"select_one yes1_no0")</f>
        <v>0</v>
      </c>
    </row>
    <row r="185" spans="1:8">
      <c r="A185">
        <f>IFERROR(__xludf.DUMMYFUNCTION("""COMPUTED_VALUE"""),"21. Diarrhea protocol applied")</f>
        <v>0</v>
      </c>
      <c r="B185">
        <f>IFERROR(7X</f>
        <v>0</v>
      </c>
      <c r="D185">
        <f>IFERROR(__xludf.DUMMYFUNCTION("""COMPUTED_VALUE"""),"21. Diarrhea protocol applied")</f>
        <v>0</v>
      </c>
      <c r="H185">
        <f>IFERROR(__xludf.DUMMYFUNCTION("""COMPUTED_VALUE"""),"select_one yes5_no0")</f>
        <v>0</v>
      </c>
    </row>
    <row r="186" spans="1:8">
      <c r="A186">
        <f>IFERROR(__xludf.DUMMYFUNCTION("""COMPUTED_VALUE"""),"22. Proportion of consultations treated with antibiotics &lt;30%")</f>
        <v>0</v>
      </c>
      <c r="B186">
        <f>IFERROR(8O</f>
        <v>0</v>
      </c>
      <c r="D186">
        <f>IFERROR(__xludf.DUMMYFUNCTION("""COMPUTED_VALUE"""),"22. Proportion of consultations treated with antibiotics &lt;30%")</f>
        <v>0</v>
      </c>
      <c r="H186">
        <f>IFERROR(__xludf.DUMMYFUNCTION("""COMPUTED_VALUE"""),"select_one yes4_no0")</f>
        <v>0</v>
      </c>
    </row>
    <row r="187" spans="1:8">
      <c r="A187">
        <f>IFERROR(__xludf.DUMMYFUNCTION("""COMPUTED_VALUE"""),"23. MSF Treatment guidelines available in consultancy room")</f>
        <v>0</v>
      </c>
      <c r="B187">
        <f>IFERROR(6D</f>
        <v>0</v>
      </c>
      <c r="D187">
        <f>IFERROR(__xludf.DUMMYFUNCTION("""COMPUTED_VALUE"""),"23. MSF Treatment guidelines available in consultancy room")</f>
        <v>0</v>
      </c>
      <c r="H187">
        <f>IFERROR(__xludf.DUMMYFUNCTION("""COMPUTED_VALUE"""),"select_one yes1_no0")</f>
        <v>0</v>
      </c>
    </row>
    <row r="188" spans="1:8">
      <c r="A188">
        <f>IFERROR(__xludf.DUMMYFUNCTION("""COMPUTED_VALUE"""),"24. Knowledge of tuberculosis danger signs symptoms and criteria for referral")</f>
        <v>0</v>
      </c>
      <c r="B188">
        <f>IFERROR(5E</f>
        <v>0</v>
      </c>
      <c r="D188">
        <f>IFERROR(__xludf.DUMMYFUNCTION("""COMPUTED_VALUE"""),"24. Knowledge of tuberculosis danger signs symptoms and criteria for referral")</f>
        <v>0</v>
      </c>
      <c r="H188">
        <f>IFERROR(__xludf.DUMMYFUNCTION("""COMPUTED_VALUE"""),"select_one yes5_no0")</f>
        <v>0</v>
      </c>
    </row>
    <row r="189" spans="1:8">
      <c r="A189">
        <f>IFERROR(__xludf.DUMMYFUNCTION("""COMPUTED_VALUE"""),"25. Stethoscope and BP machine available and functional")</f>
        <v>0</v>
      </c>
      <c r="B189">
        <f>IFERROR(7W</f>
        <v>0</v>
      </c>
      <c r="D189">
        <f>IFERROR(__xludf.DUMMYFUNCTION("""COMPUTED_VALUE"""),"25. Stethoscope and BP machine available and functional")</f>
        <v>0</v>
      </c>
      <c r="H189">
        <f>IFERROR(__xludf.DUMMYFUNCTION("""COMPUTED_VALUE"""),"select_one yes1_no0")</f>
        <v>0</v>
      </c>
    </row>
    <row r="190" spans="1:8">
      <c r="A190">
        <f>IFERROR(__xludf.DUMMYFUNCTION("""COMPUTED_VALUE"""),"26. Thermometer available and functional")</f>
        <v>0</v>
      </c>
      <c r="B190">
        <f>IFERROR(3A</f>
        <v>0</v>
      </c>
      <c r="D190">
        <f>IFERROR(__xludf.DUMMYFUNCTION("""COMPUTED_VALUE"""),"26. Thermometer available and functional")</f>
        <v>0</v>
      </c>
      <c r="H190">
        <f>IFERROR(__xludf.DUMMYFUNCTION("""COMPUTED_VALUE"""),"select_one yes1_no0")</f>
        <v>0</v>
      </c>
    </row>
    <row r="191" spans="1:8">
      <c r="A191">
        <f>IFERROR(__xludf.DUMMYFUNCTION("""COMPUTED_VALUE"""),"27. Otoscope available and functional")</f>
        <v>0</v>
      </c>
      <c r="B191">
        <f>IFERROR(0e</f>
        <v>0</v>
      </c>
      <c r="D191">
        <f>IFERROR(__xludf.DUMMYFUNCTION("""COMPUTED_VALUE"""),"27. Otoscope available and functional")</f>
        <v>0</v>
      </c>
      <c r="H191">
        <f>IFERROR(__xludf.DUMMYFUNCTION("""COMPUTED_VALUE"""),"select_one yes1_no0")</f>
        <v>0</v>
      </c>
    </row>
    <row r="192" spans="1:8">
      <c r="A192">
        <f>IFERROR(__xludf.DUMMYFUNCTION("""COMPUTED_VALUE"""),"28. Examination bed for OPD consultations only")</f>
        <v>0</v>
      </c>
      <c r="B192">
        <f>IFERROR(0t</f>
        <v>0</v>
      </c>
      <c r="D192">
        <f>IFERROR(__xludf.DUMMYFUNCTION("""COMPUTED_VALUE"""),"28. Examination bed for OPD consultations only")</f>
        <v>0</v>
      </c>
      <c r="H192">
        <f>IFERROR(__xludf.DUMMYFUNCTION("""COMPUTED_VALUE"""),"select_one yes1_no0")</f>
        <v>0</v>
      </c>
    </row>
    <row r="193" spans="1:8">
      <c r="A193">
        <f>IFERROR(__xludf.DUMMYFUNCTION("""COMPUTED_VALUE"""),"29. Weighing scale available and functional")</f>
        <v>0</v>
      </c>
      <c r="B193">
        <f>IFERROR(4r</f>
        <v>0</v>
      </c>
      <c r="D193">
        <f>IFERROR(__xludf.DUMMYFUNCTION("""COMPUTED_VALUE"""),"29. Weighing scale available and functional")</f>
        <v>0</v>
      </c>
      <c r="H193">
        <f>IFERROR(__xludf.DUMMYFUNCTION("""COMPUTED_VALUE"""),"select_one yes1_no0")</f>
        <v>0</v>
      </c>
    </row>
    <row r="194" spans="1:8">
      <c r="A194">
        <f>IFERROR(__xludf.DUMMYFUNCTION("""COMPUTED_VALUE"""),"30. Integrated Management of Childhood Illnesses strategy is applied")</f>
        <v>0</v>
      </c>
      <c r="B194">
        <f>IFERROR(5w</f>
        <v>0</v>
      </c>
      <c r="D194">
        <f>IFERROR(__xludf.DUMMYFUNCTION("""COMPUTED_VALUE"""),"30. Integrated Management of Childhood Illnesses strategy is applied")</f>
        <v>0</v>
      </c>
      <c r="H194">
        <f>IFERROR(__xludf.DUMMYFUNCTION("""COMPUTED_VALUE"""),"select_one yes2_no0")</f>
        <v>0</v>
      </c>
    </row>
    <row r="195" spans="1:8">
      <c r="A195">
        <f>IFERROR(__xludf.DUMMYFUNCTION("""COMPUTED_VALUE"""),"31. Determination of nutritional status of all children under 5 who come for consultation")</f>
        <v>0</v>
      </c>
      <c r="B195">
        <f>IFERROR(9U</f>
        <v>0</v>
      </c>
      <c r="D195">
        <f>IFERROR(__xludf.DUMMYFUNCTION("""COMPUTED_VALUE"""),"31. Determination of nutritional status of all children under 5 who come for consultation")</f>
        <v>0</v>
      </c>
      <c r="H195">
        <f>IFERROR(__xludf.DUMMYFUNCTION("""COMPUTED_VALUE"""),"select_one yes2_no0")</f>
        <v>0</v>
      </c>
    </row>
    <row r="196" spans="1:8">
      <c r="A196">
        <f>IFERROR(__xludf.DUMMYFUNCTION("""COMPUTED_VALUE"""),"32. Determination of nutritional status of all women with a sick child under 6 months of age (as above)")</f>
        <v>0</v>
      </c>
      <c r="B196">
        <f>IFERROR(7s</f>
        <v>0</v>
      </c>
      <c r="D196">
        <f>IFERROR(__xludf.DUMMYFUNCTION("""COMPUTED_VALUE"""),"32. Determination of nutritional status of all women with a sick child under 6 months of age (as above)")</f>
        <v>0</v>
      </c>
      <c r="H196">
        <f>IFERROR(__xludf.DUMMYFUNCTION("""COMPUTED_VALUE"""),"select_one yes2_no0")</f>
        <v>0</v>
      </c>
    </row>
    <row r="197" spans="1:8">
      <c r="A197">
        <f>IFERROR(__xludf.DUMMYFUNCTION("""COMPUTED_VALUE"""),"33. Screening record of nutritional status available, up to date and properly filled out")</f>
        <v>0</v>
      </c>
      <c r="B197">
        <f>IFERROR(3p</f>
        <v>0</v>
      </c>
      <c r="D197">
        <f>IFERROR(__xludf.DUMMYFUNCTION("""COMPUTED_VALUE"""),"33. Screening record of nutritional status available, up to date and properly filled out")</f>
        <v>0</v>
      </c>
      <c r="H197">
        <f>IFERROR(__xludf.DUMMYFUNCTION("""COMPUTED_VALUE"""),"select_one yes2_no0")</f>
        <v>0</v>
      </c>
    </row>
    <row r="198" spans="1:8">
      <c r="A198">
        <f>IFERROR(__xludf.DUMMYFUNCTION("""COMPUTED_VALUE"""),"6.0 Key comments")</f>
        <v>0</v>
      </c>
      <c r="B198">
        <f>IFERROR(9W</f>
        <v>0</v>
      </c>
      <c r="D198">
        <f>IFERROR(__xludf.DUMMYFUNCTION("""COMPUTED_VALUE"""),"6.0 Key comments")</f>
        <v>0</v>
      </c>
      <c r="H198">
        <f>IFERROR(__xludf.DUMMYFUNCTION("""COMPUTED_VALUE"""),"text")</f>
        <v>0</v>
      </c>
    </row>
    <row r="199" spans="1:8">
      <c r="A199">
        <f>IFERROR(__xludf.DUMMYFUNCTION("""COMPUTED_VALUE"""),"6.0 Action Plan")</f>
        <v>0</v>
      </c>
      <c r="B199">
        <f>IFERROR(0p</f>
        <v>0</v>
      </c>
      <c r="D199">
        <f>IFERROR(__xludf.DUMMYFUNCTION("""COMPUTED_VALUE"""),"6.0 Action Plan")</f>
        <v>0</v>
      </c>
      <c r="H199">
        <f>IFERROR(__xludf.DUMMYFUNCTION("""COMPUTED_VALUE"""),"text")</f>
        <v>0</v>
      </c>
    </row>
    <row r="200" spans="1:8">
      <c r="A200">
        <f>IFERROR(__xludf.DUMMYFUNCTION("""COMPUTED_VALUE"""),"")</f>
        <v>0</v>
      </c>
      <c r="B200">
        <f>IFERROR(7x</f>
        <v>0</v>
      </c>
      <c r="D200">
        <f>IFERROR(__xludf.DUMMYFUNCTION("""COMPUTED_VALUE"""),"")</f>
        <v>0</v>
      </c>
      <c r="H200">
        <f>IFERROR(__xludf.DUMMYFUNCTION("""COMPUTED_VALUE"""),"calculate")</f>
        <v>0</v>
      </c>
    </row>
    <row r="201" spans="1:8">
      <c r="A201">
        <f>IFERROR(__xludf.DUMMYFUNCTION("""COMPUTED_VALUE"""),"6.1 Direct observation of three consecutive children under five.")</f>
        <v>0</v>
      </c>
      <c r="B201">
        <f>IFERROR(5c</f>
        <v>0</v>
      </c>
      <c r="D201">
        <f>IFERROR(__xludf.DUMMYFUNCTION("""COMPUTED_VALUE"""),"6.1 Direct observation of three consecutive children under five.")</f>
        <v>0</v>
      </c>
      <c r="H201">
        <f>IFERROR(__xludf.DUMMYFUNCTION("""COMPUTED_VALUE"""),"begin_group")</f>
        <v>0</v>
      </c>
    </row>
    <row r="202" spans="1:8">
      <c r="A202">
        <f>IFERROR(__xludf.DUMMYFUNCTION("""COMPUTED_VALUE"""),"34. Ask about fever and IF FEVER ask about (i) since when; (ii) persistent or intermittent (if question asked to the three children)")</f>
        <v>0</v>
      </c>
      <c r="B202">
        <f>IFERROR(7F</f>
        <v>0</v>
      </c>
      <c r="D202">
        <f>IFERROR(__xludf.DUMMYFUNCTION("""COMPUTED_VALUE"""),"34. Ask about fever and IF FEVER ask about (i) since when; (ii) persistent or intermittent (if question asked to the three children)")</f>
        <v>0</v>
      </c>
      <c r="H202">
        <f>IFERROR(__xludf.DUMMYFUNCTION("""COMPUTED_VALUE"""),"select_one yes6_no0")</f>
        <v>0</v>
      </c>
    </row>
    <row r="203" spans="1:8">
      <c r="A203">
        <f>IFERROR(__xludf.DUMMYFUNCTION("""COMPUTED_VALUE"""),"35. Ask about cough and IF COUGH ask about since when (if question asked to the three children)")</f>
        <v>0</v>
      </c>
      <c r="B203">
        <f>IFERROR(5g</f>
        <v>0</v>
      </c>
      <c r="D203">
        <f>IFERROR(__xludf.DUMMYFUNCTION("""COMPUTED_VALUE"""),"35. Ask about cough and IF COUGH ask about since when (if question asked to the three children)")</f>
        <v>0</v>
      </c>
      <c r="H203">
        <f>IFERROR(__xludf.DUMMYFUNCTION("""COMPUTED_VALUE"""),"select_one yes6_no0")</f>
        <v>0</v>
      </c>
    </row>
    <row r="204" spans="1:8">
      <c r="A204">
        <f>IFERROR(__xludf.DUMMYFUNCTION("""COMPUTED_VALUE"""),"36. Ask for diarrhea IF DIARRHOEA then ask (i) since when; (ii) how often per day; (iii) consistency - watery or mucus or bloody; (iv) vomiting (if question asked to the three children)")</f>
        <v>0</v>
      </c>
      <c r="B204">
        <f>IFERROR(4f</f>
        <v>0</v>
      </c>
      <c r="D204">
        <f>IFERROR(__xludf.DUMMYFUNCTION("""COMPUTED_VALUE"""),"36. Ask for diarrhea IF DIARRHOEA then ask (i) since when; (ii) how often per day; (iii) consistency - watery or mucus or bloody; (iv) vomiting (if question asked to the three children)")</f>
        <v>0</v>
      </c>
      <c r="H204">
        <f>IFERROR(__xludf.DUMMYFUNCTION("""COMPUTED_VALUE"""),"select_one yes6_no0")</f>
        <v>0</v>
      </c>
    </row>
    <row r="205" spans="1:8">
      <c r="A205">
        <f>IFERROR(__xludf.DUMMYFUNCTION("""COMPUTED_VALUE"""),"37. GENERAL IMPRESSION: awake or tired? (if question asked to the three children)")</f>
        <v>0</v>
      </c>
      <c r="B205">
        <f>IFERROR(6f</f>
        <v>0</v>
      </c>
      <c r="D205">
        <f>IFERROR(__xludf.DUMMYFUNCTION("""COMPUTED_VALUE"""),"37. GENERAL IMPRESSION: awake or tired? (if question asked to the three children)")</f>
        <v>0</v>
      </c>
      <c r="H205">
        <f>IFERROR(__xludf.DUMMYFUNCTION("""COMPUTED_VALUE"""),"select_one yes6_no0")</f>
        <v>0</v>
      </c>
    </row>
    <row r="206" spans="1:8">
      <c r="A206">
        <f>IFERROR(__xludf.DUMMYFUNCTION("""COMPUTED_VALUE"""),"38. FIRST - COUNT RESPIRATION RATE (observe before touching child!!!) (if action taken on the three children)")</f>
        <v>0</v>
      </c>
      <c r="B206">
        <f>IFERROR(9I</f>
        <v>0</v>
      </c>
      <c r="D206">
        <f>IFERROR(__xludf.DUMMYFUNCTION("""COMPUTED_VALUE"""),"38. FIRST - COUNT RESPIRATION RATE (observe before touching child!!!) (if action taken on the three children)")</f>
        <v>0</v>
      </c>
      <c r="H206">
        <f>IFERROR(__xludf.DUMMYFUNCTION("""COMPUTED_VALUE"""),"select_one yes6_no0")</f>
        <v>0</v>
      </c>
    </row>
    <row r="207" spans="1:8">
      <c r="A207">
        <f>IFERROR(__xludf.DUMMYFUNCTION("""COMPUTED_VALUE"""),"39. Temperature (measure) (if taken on the three children)")</f>
        <v>0</v>
      </c>
      <c r="B207">
        <f>IFERROR(2n</f>
        <v>0</v>
      </c>
      <c r="D207">
        <f>IFERROR(__xludf.DUMMYFUNCTION("""COMPUTED_VALUE"""),"39. Temperature (measure) (if taken on the three children)")</f>
        <v>0</v>
      </c>
      <c r="H207">
        <f>IFERROR(__xludf.DUMMYFUNCTION("""COMPUTED_VALUE"""),"select_one yes6_no0")</f>
        <v>0</v>
      </c>
    </row>
    <row r="208" spans="1:8">
      <c r="A208">
        <f>IFERROR(__xludf.DUMMYFUNCTION("""COMPUTED_VALUE"""),"40. Skin pinch (in case of diarrhea) OR chest auscultation (in case of cough) (if carried out on the three children)")</f>
        <v>0</v>
      </c>
      <c r="B208">
        <f>IFERROR(2e</f>
        <v>0</v>
      </c>
      <c r="D208">
        <f>IFERROR(__xludf.DUMMYFUNCTION("""COMPUTED_VALUE"""),"40. Skin pinch (in case of diarrhea) OR chest auscultation (in case of cough) (if carried out on the three children)")</f>
        <v>0</v>
      </c>
      <c r="H208">
        <f>IFERROR(__xludf.DUMMYFUNCTION("""COMPUTED_VALUE"""),"select_one yes6_no0")</f>
        <v>0</v>
      </c>
    </row>
    <row r="209" spans="1:8">
      <c r="A209">
        <f>IFERROR(__xludf.DUMMYFUNCTION("""COMPUTED_VALUE"""),"6.1 Key comments")</f>
        <v>0</v>
      </c>
      <c r="B209">
        <f>IFERROR(3C</f>
        <v>0</v>
      </c>
      <c r="D209">
        <f>IFERROR(__xludf.DUMMYFUNCTION("""COMPUTED_VALUE"""),"6.1 Key comments")</f>
        <v>0</v>
      </c>
      <c r="H209">
        <f>IFERROR(__xludf.DUMMYFUNCTION("""COMPUTED_VALUE"""),"text")</f>
        <v>0</v>
      </c>
    </row>
    <row r="210" spans="1:8">
      <c r="A210">
        <f>IFERROR(__xludf.DUMMYFUNCTION("""COMPUTED_VALUE"""),"6.1 Action Plan")</f>
        <v>0</v>
      </c>
      <c r="B210">
        <f>IFERROR(7Z</f>
        <v>0</v>
      </c>
      <c r="D210">
        <f>IFERROR(__xludf.DUMMYFUNCTION("""COMPUTED_VALUE"""),"6.1 Action Plan")</f>
        <v>0</v>
      </c>
      <c r="H210">
        <f>IFERROR(__xludf.DUMMYFUNCTION("""COMPUTED_VALUE"""),"text")</f>
        <v>0</v>
      </c>
    </row>
    <row r="211" spans="1:8">
      <c r="A211">
        <f>IFERROR(__xludf.DUMMYFUNCTION("""COMPUTED_VALUE"""),"")</f>
        <v>0</v>
      </c>
      <c r="B211">
        <f>IFERROR(4u</f>
        <v>0</v>
      </c>
      <c r="D211">
        <f>IFERROR(__xludf.DUMMYFUNCTION("""COMPUTED_VALUE"""),"")</f>
        <v>0</v>
      </c>
      <c r="H211">
        <f>IFERROR(__xludf.DUMMYFUNCTION("""COMPUTED_VALUE"""),"calculate")</f>
        <v>0</v>
      </c>
    </row>
    <row r="212" spans="1:8">
      <c r="A212">
        <f>IFERROR(__xludf.DUMMYFUNCTION("""COMPUTED_VALUE"""),"")</f>
        <v>0</v>
      </c>
      <c r="B212">
        <f>IFERROR07D</f>
        <v>0</v>
      </c>
      <c r="D212">
        <f>IFERROR(__xludf.DUMMYFUNCTION("""COMPUTED_VALUE"""),"")</f>
        <v>0</v>
      </c>
      <c r="H212">
        <f>IFERROR(__xludf.DUMMYFUNCTION("""COMPUTED_VALUE"""),"end_group")</f>
        <v>0</v>
      </c>
    </row>
    <row r="213" spans="1:8">
      <c r="A213">
        <f>IFERROR(__xludf.DUMMYFUNCTION("""COMPUTED_VALUE"""),"")</f>
        <v>0</v>
      </c>
      <c r="B213">
        <f>IFERROR(1B</f>
        <v>0</v>
      </c>
      <c r="D213">
        <f>IFERROR(__xludf.DUMMYFUNCTION("""COMPUTED_VALUE"""),"")</f>
        <v>0</v>
      </c>
      <c r="H213">
        <f>IFERROR(__xludf.DUMMYFUNCTION("""COMPUTED_VALUE"""),"calculate")</f>
        <v>0</v>
      </c>
    </row>
    <row r="214" spans="1:8">
      <c r="A214">
        <f>IFERROR(__xludf.DUMMYFUNCTION("""COMPUTED_VALUE"""),"")</f>
        <v>0</v>
      </c>
      <c r="B214">
        <f>IFERROR03o</f>
        <v>0</v>
      </c>
      <c r="D214">
        <f>IFERROR(__xludf.DUMMYFUNCTION("""COMPUTED_VALUE"""),"")</f>
        <v>0</v>
      </c>
      <c r="H214">
        <f>IFERROR(__xludf.DUMMYFUNCTION("""COMPUTED_VALUE"""),"end_group")</f>
        <v>0</v>
      </c>
    </row>
    <row r="215" spans="1:8">
      <c r="A215">
        <f>IFERROR(__xludf.DUMMYFUNCTION("""COMPUTED_VALUE"""),"Section 7.  Laboratory")</f>
        <v>0</v>
      </c>
      <c r="B215">
        <f>IFERROR(9W</f>
        <v>0</v>
      </c>
      <c r="D215">
        <f>IFERROR(__xludf.DUMMYFUNCTION("""COMPUTED_VALUE"""),"Section 7.  Laboratory")</f>
        <v>0</v>
      </c>
      <c r="H215">
        <f>IFERROR(__xludf.DUMMYFUNCTION("""COMPUTED_VALUE"""),"begin_group")</f>
        <v>0</v>
      </c>
    </row>
    <row r="216" spans="1:8">
      <c r="A216">
        <f>IFERROR(__xludf.DUMMYFUNCTION("""COMPUTED_VALUE"""),"1. Medical laboratory scientist is available")</f>
        <v>0</v>
      </c>
      <c r="B216">
        <f>IFERROR(3G</f>
        <v>0</v>
      </c>
      <c r="D216">
        <f>IFERROR(__xludf.DUMMYFUNCTION("""COMPUTED_VALUE"""),"1. Medical laboratory scientist is available")</f>
        <v>0</v>
      </c>
      <c r="H216">
        <f>IFERROR(__xludf.DUMMYFUNCTION("""COMPUTED_VALUE"""),"select_one yes1_no0")</f>
        <v>0</v>
      </c>
    </row>
    <row r="217" spans="1:8">
      <c r="A217">
        <f>IFERROR(__xludf.DUMMYFUNCTION("""COMPUTED_VALUE"""),"2. Laboratory is open every day of the week")</f>
        <v>0</v>
      </c>
      <c r="B217">
        <f>IFERROR(4x</f>
        <v>0</v>
      </c>
      <c r="D217">
        <f>IFERROR(__xludf.DUMMYFUNCTION("""COMPUTED_VALUE"""),"2. Laboratory is open every day of the week")</f>
        <v>0</v>
      </c>
      <c r="H217">
        <f>IFERROR(__xludf.DUMMYFUNCTION("""COMPUTED_VALUE"""),"select_one yes1_no0")</f>
        <v>0</v>
      </c>
    </row>
    <row r="218" spans="1:8">
      <c r="A218">
        <f>IFERROR(__xludf.DUMMYFUNCTION("""COMPUTED_VALUE"""),"3. List of laboratory examinations visible for the public with fees")</f>
        <v>0</v>
      </c>
      <c r="B218">
        <f>IFERROR(6l</f>
        <v>0</v>
      </c>
      <c r="D218">
        <f>IFERROR(__xludf.DUMMYFUNCTION("""COMPUTED_VALUE"""),"3. List of laboratory examinations visible for the public with fees")</f>
        <v>0</v>
      </c>
      <c r="H218">
        <f>IFERROR(__xludf.DUMMYFUNCTION("""COMPUTED_VALUE"""),"select_one yes1_no0")</f>
        <v>0</v>
      </c>
    </row>
    <row r="219" spans="1:8">
      <c r="A219">
        <f>IFERROR(__xludf.DUMMYFUNCTION("""COMPUTED_VALUE"""),"4. DQA Results recorded correctly in laboratory register and match with results in inpatient sheets or OPD examination cards")</f>
        <v>0</v>
      </c>
      <c r="B219">
        <f>IFERROR(2d</f>
        <v>0</v>
      </c>
      <c r="D219">
        <f>IFERROR(__xludf.DUMMYFUNCTION("""COMPUTED_VALUE"""),"4. DQA Results recorded correctly in laboratory register and match with results in inpatient sheets or OPD examination cards")</f>
        <v>0</v>
      </c>
      <c r="H219">
        <f>IFERROR(__xludf.DUMMYFUNCTION("""COMPUTED_VALUE"""),"select_one yes1_no0")</f>
        <v>0</v>
      </c>
    </row>
    <row r="220" spans="1:8">
      <c r="A220">
        <f>IFERROR(__xludf.DUMMYFUNCTION("""COMPUTED_VALUE"""),"5. Availability of parasites demonstrations")</f>
        <v>0</v>
      </c>
      <c r="B220">
        <f>IFERROR(5L</f>
        <v>0</v>
      </c>
      <c r="D220">
        <f>IFERROR(__xludf.DUMMYFUNCTION("""COMPUTED_VALUE"""),"5. Availability of parasites demonstrations")</f>
        <v>0</v>
      </c>
      <c r="H220">
        <f>IFERROR(__xludf.DUMMYFUNCTION("""COMPUTED_VALUE"""),"select_one yes0p5_no0")</f>
        <v>0</v>
      </c>
    </row>
    <row r="221" spans="1:8">
      <c r="A221">
        <f>IFERROR(__xludf.DUMMYFUNCTION("""COMPUTED_VALUE"""),"6. Microscope available and functional")</f>
        <v>0</v>
      </c>
      <c r="B221">
        <f>IFERROR(4b</f>
        <v>0</v>
      </c>
      <c r="D221">
        <f>IFERROR(__xludf.DUMMYFUNCTION("""COMPUTED_VALUE"""),"6. Microscope available and functional")</f>
        <v>0</v>
      </c>
      <c r="H221">
        <f>IFERROR(__xludf.DUMMYFUNCTION("""COMPUTED_VALUE"""),"select_one yes0p5_no0")</f>
        <v>0</v>
      </c>
    </row>
    <row r="222" spans="1:8">
      <c r="A222">
        <f>IFERROR(__xludf.DUMMYFUNCTION("""COMPUTED_VALUE"""),"7. Malaria rapid test kits available")</f>
        <v>0</v>
      </c>
      <c r="B222">
        <f>IFERROR(3t</f>
        <v>0</v>
      </c>
      <c r="D222">
        <f>IFERROR(__xludf.DUMMYFUNCTION("""COMPUTED_VALUE"""),"7. Malaria rapid test kits available")</f>
        <v>0</v>
      </c>
      <c r="H222">
        <f>IFERROR(__xludf.DUMMYFUNCTION("""COMPUTED_VALUE"""),"select_one yes0p5_no0")</f>
        <v>0</v>
      </c>
    </row>
    <row r="223" spans="1:8">
      <c r="A223">
        <f>IFERROR(__xludf.DUMMYFUNCTION("""COMPUTED_VALUE"""),"8. Equipment available and functional; (i) centrifuge; (ii) electrophoresis machine; (iii) hematocentrifuge; (iv) clinical chemistry analyzer; (v) hemoglobinometer (manual or automated)")</f>
        <v>0</v>
      </c>
      <c r="B223">
        <f>IFERROR(3u</f>
        <v>0</v>
      </c>
      <c r="D223">
        <f>IFERROR(__xludf.DUMMYFUNCTION("""COMPUTED_VALUE"""),"8. Equipment available and functional; (i) centrifuge; (ii) electrophoresis machine; (iii) hematocentrifuge; (iv) clinical chemistry analyzer; (v) hemoglobinometer (manual or automated)")</f>
        <v>0</v>
      </c>
      <c r="H223">
        <f>IFERROR(__xludf.DUMMYFUNCTION("""COMPUTED_VALUE"""),"select_one yes2p5_no0")</f>
        <v>0</v>
      </c>
    </row>
    <row r="224" spans="1:8">
      <c r="A224">
        <f>IFERROR(__xludf.DUMMYFUNCTION("""COMPUTED_VALUE"""),"9. Waste evacuation correctly carried out")</f>
        <v>0</v>
      </c>
      <c r="B224">
        <f>IFERROR(7N</f>
        <v>0</v>
      </c>
      <c r="D224">
        <f>IFERROR(__xludf.DUMMYFUNCTION("""COMPUTED_VALUE"""),"9. Waste evacuation correctly carried out")</f>
        <v>0</v>
      </c>
      <c r="H224">
        <f>IFERROR(__xludf.DUMMYFUNCTION("""COMPUTED_VALUE"""),"select_one yes1_no0")</f>
        <v>0</v>
      </c>
    </row>
    <row r="225" spans="1:8">
      <c r="A225">
        <f>IFERROR(__xludf.DUMMYFUNCTION("""COMPUTED_VALUE"""),"10. Personnel adequately washes dirty pipettes in containers with antiseptic if pipettes are not disposable")</f>
        <v>0</v>
      </c>
      <c r="B225">
        <f>IFERROR(5c</f>
        <v>0</v>
      </c>
      <c r="D225">
        <f>IFERROR(__xludf.DUMMYFUNCTION("""COMPUTED_VALUE"""),"10. Personnel adequately washes dirty pipettes in containers with antiseptic if pipettes are not disposable")</f>
        <v>0</v>
      </c>
      <c r="H225">
        <f>IFERROR(__xludf.DUMMYFUNCTION("""COMPUTED_VALUE"""),"select_one yes1_no0")</f>
        <v>0</v>
      </c>
    </row>
    <row r="226" spans="1:8">
      <c r="A226">
        <f>IFERROR(__xludf.DUMMYFUNCTION("""COMPUTED_VALUE"""),"11. Laboratory equipment for testing for PTB")</f>
        <v>0</v>
      </c>
      <c r="B226">
        <f>IFERROR(7Q</f>
        <v>0</v>
      </c>
      <c r="D226">
        <f>IFERROR(__xludf.DUMMYFUNCTION("""COMPUTED_VALUE"""),"11. Laboratory equipment for testing for PTB")</f>
        <v>0</v>
      </c>
      <c r="H226">
        <f>IFERROR(__xludf.DUMMYFUNCTION("""COMPUTED_VALUE"""),"select_one yes2_no0")</f>
        <v>0</v>
      </c>
    </row>
    <row r="227" spans="1:8">
      <c r="A227">
        <f>IFERROR(__xludf.DUMMYFUNCTION("""COMPUTED_VALUE"""),"7.0 key comments")</f>
        <v>0</v>
      </c>
      <c r="B227">
        <f>IFERROR(0n</f>
        <v>0</v>
      </c>
      <c r="D227">
        <f>IFERROR(__xludf.DUMMYFUNCTION("""COMPUTED_VALUE"""),"7.0 key comments")</f>
        <v>0</v>
      </c>
      <c r="H227">
        <f>IFERROR(__xludf.DUMMYFUNCTION("""COMPUTED_VALUE"""),"text")</f>
        <v>0</v>
      </c>
    </row>
    <row r="228" spans="1:8">
      <c r="A228">
        <f>IFERROR(__xludf.DUMMYFUNCTION("""COMPUTED_VALUE"""),"7.0 action plan")</f>
        <v>0</v>
      </c>
      <c r="B228">
        <f>IFERROR(6c</f>
        <v>0</v>
      </c>
      <c r="D228">
        <f>IFERROR(__xludf.DUMMYFUNCTION("""COMPUTED_VALUE"""),"7.0 action plan")</f>
        <v>0</v>
      </c>
      <c r="H228">
        <f>IFERROR(__xludf.DUMMYFUNCTION("""COMPUTED_VALUE"""),"text")</f>
        <v>0</v>
      </c>
    </row>
    <row r="229" spans="1:8">
      <c r="A229">
        <f>IFERROR(__xludf.DUMMYFUNCTION("""COMPUTED_VALUE"""),"")</f>
        <v>0</v>
      </c>
      <c r="B229">
        <f>IFERROR(5V</f>
        <v>0</v>
      </c>
      <c r="D229">
        <f>IFERROR(__xludf.DUMMYFUNCTION("""COMPUTED_VALUE"""),"")</f>
        <v>0</v>
      </c>
      <c r="H229">
        <f>IFERROR(__xludf.DUMMYFUNCTION("""COMPUTED_VALUE"""),"calculate")</f>
        <v>0</v>
      </c>
    </row>
    <row r="230" spans="1:8">
      <c r="A230">
        <f>IFERROR(__xludf.DUMMYFUNCTION("""COMPUTED_VALUE"""),"")</f>
        <v>0</v>
      </c>
      <c r="B230">
        <f>IFERROR02M</f>
        <v>0</v>
      </c>
      <c r="D230">
        <f>IFERROR(__xludf.DUMMYFUNCTION("""COMPUTED_VALUE"""),"")</f>
        <v>0</v>
      </c>
      <c r="H230">
        <f>IFERROR(__xludf.DUMMYFUNCTION("""COMPUTED_VALUE"""),"end_group")</f>
        <v>0</v>
      </c>
    </row>
    <row r="231" spans="1:8">
      <c r="A231">
        <f>IFERROR(__xludf.DUMMYFUNCTION("""COMPUTED_VALUE"""),"Section 8. In-patient Wards ")</f>
        <v>0</v>
      </c>
      <c r="B231">
        <f>IFERROR(9Q</f>
        <v>0</v>
      </c>
      <c r="D231">
        <f>IFERROR(__xludf.DUMMYFUNCTION("""COMPUTED_VALUE"""),"Section 8. In-patient Wards ")</f>
        <v>0</v>
      </c>
      <c r="H231">
        <f>IFERROR(__xludf.DUMMYFUNCTION("""COMPUTED_VALUE"""),"begin_group")</f>
        <v>0</v>
      </c>
    </row>
    <row r="232" spans="1:8">
      <c r="A232">
        <f>IFERROR(__xludf.DUMMYFUNCTION("""COMPUTED_VALUE"""),"1. Guard duty roster clearly visible for staff and followed up")</f>
        <v>0</v>
      </c>
      <c r="B232">
        <f>IFERROR(5p</f>
        <v>0</v>
      </c>
      <c r="D232">
        <f>IFERROR(__xludf.DUMMYFUNCTION("""COMPUTED_VALUE"""),"1. Guard duty roster clearly visible for staff and followed up")</f>
        <v>0</v>
      </c>
      <c r="H232">
        <f>IFERROR(__xludf.DUMMYFUNCTION("""COMPUTED_VALUE"""),"select_one yes_no")</f>
        <v>0</v>
      </c>
    </row>
    <row r="233" spans="1:8">
      <c r="A233">
        <f>IFERROR(__xludf.DUMMYFUNCTION("""COMPUTED_VALUE"""),"2. Furniture available and in good state")</f>
        <v>0</v>
      </c>
      <c r="B233">
        <f>IFERROR(7X</f>
        <v>0</v>
      </c>
      <c r="D233">
        <f>IFERROR(__xludf.DUMMYFUNCTION("""COMPUTED_VALUE"""),"2. Furniture available and in good state")</f>
        <v>0</v>
      </c>
      <c r="H233">
        <f>IFERROR(__xludf.DUMMYFUNCTION("""COMPUTED_VALUE"""),"select_one yes_no")</f>
        <v>0</v>
      </c>
    </row>
    <row r="234" spans="1:8">
      <c r="A234">
        <f>IFERROR(__xludf.DUMMYFUNCTION("""COMPUTED_VALUE"""),"8.1 Patient comfort and hygiene")</f>
        <v>0</v>
      </c>
      <c r="B234">
        <f>IFERROR07N</f>
        <v>0</v>
      </c>
      <c r="D234">
        <f>IFERROR(__xludf.DUMMYFUNCTION("""COMPUTED_VALUE"""),"8.1 Patient comfort and hygiene")</f>
        <v>0</v>
      </c>
      <c r="H234">
        <f>IFERROR(__xludf.DUMMYFUNCTION("""COMPUTED_VALUE"""),"begin_group")</f>
        <v>0</v>
      </c>
    </row>
    <row r="235" spans="1:8">
      <c r="A235">
        <f>IFERROR(__xludf.DUMMYFUNCTION("""COMPUTED_VALUE"""),"3. The wards are clean: no debris on the floor; and wards smell of bleach or disinfectant")</f>
        <v>0</v>
      </c>
      <c r="B235">
        <f>IFERROR(7S</f>
        <v>0</v>
      </c>
      <c r="D235">
        <f>IFERROR(__xludf.DUMMYFUNCTION("""COMPUTED_VALUE"""),"3. The wards are clean: no debris on the floor; and wards smell of bleach or disinfectant")</f>
        <v>0</v>
      </c>
      <c r="H235">
        <f>IFERROR(__xludf.DUMMYFUNCTION("""COMPUTED_VALUE"""),"select_one yes_no")</f>
        <v>0</v>
      </c>
    </row>
    <row r="236" spans="1:8">
      <c r="A236">
        <f>IFERROR(__xludf.DUMMYFUNCTION("""COMPUTED_VALUE"""),"")</f>
        <v>0</v>
      </c>
      <c r="B236">
        <f>IFERROR(8a</f>
        <v>0</v>
      </c>
      <c r="D236">
        <f>IFERROR(__xludf.DUMMYFUNCTION("""COMPUTED_VALUE"""),"")</f>
        <v>0</v>
      </c>
      <c r="H236">
        <f>IFERROR(__xludf.DUMMYFUNCTION("""COMPUTED_VALUE"""),"calculate")</f>
        <v>0</v>
      </c>
    </row>
    <row r="237" spans="1:8">
      <c r="A237">
        <f>IFERROR(__xludf.DUMMYFUNCTION("""COMPUTED_VALUE"""),"4. Walls with durable materials well painted, floor paved with cement without fissures, undamaged ceiling")</f>
        <v>0</v>
      </c>
      <c r="B237">
        <f>IFERROR(1B</f>
        <v>0</v>
      </c>
      <c r="D237">
        <f>IFERROR(__xludf.DUMMYFUNCTION("""COMPUTED_VALUE"""),"4. Walls with durable materials well painted, floor paved with cement without fissures, undamaged ceiling")</f>
        <v>0</v>
      </c>
      <c r="H237">
        <f>IFERROR(__xludf.DUMMYFUNCTION("""COMPUTED_VALUE"""),"select_one yes_no")</f>
        <v>0</v>
      </c>
    </row>
    <row r="238" spans="1:8">
      <c r="A238">
        <f>IFERROR(__xludf.DUMMYFUNCTION("""COMPUTED_VALUE"""),"5. Space between the beds is at the least one meter")</f>
        <v>0</v>
      </c>
      <c r="B238">
        <f>IFERROR(7g</f>
        <v>0</v>
      </c>
      <c r="D238">
        <f>IFERROR(__xludf.DUMMYFUNCTION("""COMPUTED_VALUE"""),"5. Space between the beds is at the least one meter")</f>
        <v>0</v>
      </c>
      <c r="H238">
        <f>IFERROR(__xludf.DUMMYFUNCTION("""COMPUTED_VALUE"""),"select_one yes_no")</f>
        <v>0</v>
      </c>
    </row>
    <row r="239" spans="1:8">
      <c r="A239">
        <f>IFERROR(__xludf.DUMMYFUNCTION("""COMPUTED_VALUE"""),"6. Bed screen available for patient confidentiality")</f>
        <v>0</v>
      </c>
      <c r="B239">
        <f>IFERROR(4V</f>
        <v>0</v>
      </c>
      <c r="D239">
        <f>IFERROR(__xludf.DUMMYFUNCTION("""COMPUTED_VALUE"""),"6. Bed screen available for patient confidentiality")</f>
        <v>0</v>
      </c>
      <c r="H239">
        <f>IFERROR(__xludf.DUMMYFUNCTION("""COMPUTED_VALUE"""),"select_one yes_no")</f>
        <v>0</v>
      </c>
    </row>
    <row r="240" spans="1:8">
      <c r="A240">
        <f>IFERROR(__xludf.DUMMYFUNCTION("""COMPUTED_VALUE"""),"7. Windows with curtains and net")</f>
        <v>0</v>
      </c>
      <c r="B240">
        <f>IFERROR(3A</f>
        <v>0</v>
      </c>
      <c r="D240">
        <f>IFERROR(__xludf.DUMMYFUNCTION("""COMPUTED_VALUE"""),"7. Windows with curtains and net")</f>
        <v>0</v>
      </c>
      <c r="H240">
        <f>IFERROR(__xludf.DUMMYFUNCTION("""COMPUTED_VALUE"""),"select_one yes_no")</f>
        <v>0</v>
      </c>
    </row>
    <row r="241" spans="1:8">
      <c r="A241">
        <f>IFERROR(__xludf.DUMMYFUNCTION("""COMPUTED_VALUE"""),"8. Functional door with functional lock")</f>
        <v>0</v>
      </c>
      <c r="B241">
        <f>IFERROR(9f</f>
        <v>0</v>
      </c>
      <c r="D241">
        <f>IFERROR(__xludf.DUMMYFUNCTION("""COMPUTED_VALUE"""),"8. Functional door with functional lock")</f>
        <v>0</v>
      </c>
      <c r="H241">
        <f>IFERROR(__xludf.DUMMYFUNCTION("""COMPUTED_VALUE"""),"select_one yes_no")</f>
        <v>0</v>
      </c>
    </row>
    <row r="242" spans="1:8">
      <c r="A242">
        <f>IFERROR(__xludf.DUMMYFUNCTION("""COMPUTED_VALUE"""),"9. Each ward has access to drinking water in the ward")</f>
        <v>0</v>
      </c>
      <c r="B242">
        <f>IFERROR(4r</f>
        <v>0</v>
      </c>
      <c r="D242">
        <f>IFERROR(__xludf.DUMMYFUNCTION("""COMPUTED_VALUE"""),"9. Each ward has access to drinking water in the ward")</f>
        <v>0</v>
      </c>
      <c r="H242">
        <f>IFERROR(__xludf.DUMMYFUNCTION("""COMPUTED_VALUE"""),"select_one yes_no")</f>
        <v>0</v>
      </c>
    </row>
    <row r="243" spans="1:8">
      <c r="A243">
        <f>IFERROR(__xludf.DUMMYFUNCTION("""COMPUTED_VALUE"""),"10. Each ward has running water or water dispenser with water, soap and a clean towel for each patient")</f>
        <v>0</v>
      </c>
      <c r="B243">
        <f>IFERROR(3s</f>
        <v>0</v>
      </c>
      <c r="D243">
        <f>IFERROR(__xludf.DUMMYFUNCTION("""COMPUTED_VALUE"""),"10. Each ward has running water or water dispenser with water, soap and a clean towel for each patient")</f>
        <v>0</v>
      </c>
      <c r="H243">
        <f>IFERROR(__xludf.DUMMYFUNCTION("""COMPUTED_VALUE"""),"select_one yes_no")</f>
        <v>0</v>
      </c>
    </row>
    <row r="244" spans="1:8">
      <c r="A244">
        <f>IFERROR(__xludf.DUMMYFUNCTION("""COMPUTED_VALUE"""),"11. Stethoscope and BP machine available and functional")</f>
        <v>0</v>
      </c>
      <c r="B244">
        <f>IFERROR(3s</f>
        <v>0</v>
      </c>
      <c r="D244">
        <f>IFERROR(__xludf.DUMMYFUNCTION("""COMPUTED_VALUE"""),"11. Stethoscope and BP machine available and functional")</f>
        <v>0</v>
      </c>
      <c r="H244">
        <f>IFERROR(__xludf.DUMMYFUNCTION("""COMPUTED_VALUE"""),"select_one yes_no")</f>
        <v>0</v>
      </c>
    </row>
    <row r="245" spans="1:8">
      <c r="A245">
        <f>IFERROR(__xludf.DUMMYFUNCTION("""COMPUTED_VALUE"""),"12. Thermometer available and functional")</f>
        <v>0</v>
      </c>
      <c r="B245">
        <f>IFERROR(2y</f>
        <v>0</v>
      </c>
      <c r="D245">
        <f>IFERROR(__xludf.DUMMYFUNCTION("""COMPUTED_VALUE"""),"12. Thermometer available and functional")</f>
        <v>0</v>
      </c>
      <c r="H245">
        <f>IFERROR(__xludf.DUMMYFUNCTION("""COMPUTED_VALUE"""),"select_one yes_no")</f>
        <v>0</v>
      </c>
    </row>
    <row r="246" spans="1:8">
      <c r="A246">
        <f>IFERROR(__xludf.DUMMYFUNCTION("""COMPUTED_VALUE"""),"13. Weighing scale available and functional")</f>
        <v>0</v>
      </c>
      <c r="B246">
        <f>IFERROR(9p</f>
        <v>0</v>
      </c>
      <c r="D246">
        <f>IFERROR(__xludf.DUMMYFUNCTION("""COMPUTED_VALUE"""),"13. Weighing scale available and functional")</f>
        <v>0</v>
      </c>
      <c r="H246">
        <f>IFERROR(__xludf.DUMMYFUNCTION("""COMPUTED_VALUE"""),"select_one yes_no")</f>
        <v>0</v>
      </c>
    </row>
    <row r="247" spans="1:8">
      <c r="A247">
        <f>IFERROR(__xludf.DUMMYFUNCTION("""COMPUTED_VALUE"""),"14. Correct numbering of in-patient registers")</f>
        <v>0</v>
      </c>
      <c r="B247">
        <f>IFERROR(8J</f>
        <v>0</v>
      </c>
      <c r="D247">
        <f>IFERROR(__xludf.DUMMYFUNCTION("""COMPUTED_VALUE"""),"14. Correct numbering of in-patient registers")</f>
        <v>0</v>
      </c>
      <c r="H247">
        <f>IFERROR(__xludf.DUMMYFUNCTION("""COMPUTED_VALUE"""),"select_one yes_no")</f>
        <v>0</v>
      </c>
    </row>
    <row r="248" spans="1:8">
      <c r="A248">
        <f>IFERROR(__xludf.DUMMYFUNCTION("""COMPUTED_VALUE"""),"15. Light available in each ward")</f>
        <v>0</v>
      </c>
      <c r="B248">
        <f>IFERROR(0U</f>
        <v>0</v>
      </c>
      <c r="D248">
        <f>IFERROR(__xludf.DUMMYFUNCTION("""COMPUTED_VALUE"""),"15. Light available in each ward")</f>
        <v>0</v>
      </c>
      <c r="H248">
        <f>IFERROR(__xludf.DUMMYFUNCTION("""COMPUTED_VALUE"""),"select_one yes_no")</f>
        <v>0</v>
      </c>
    </row>
    <row r="249" spans="1:8">
      <c r="A249">
        <f>IFERROR(__xludf.DUMMYFUNCTION("""COMPUTED_VALUE"""),"16. Confidentiality")</f>
        <v>0</v>
      </c>
      <c r="B249">
        <f>IFERROR(5W</f>
        <v>0</v>
      </c>
      <c r="D249">
        <f>IFERROR(__xludf.DUMMYFUNCTION("""COMPUTED_VALUE"""),"16. Confidentiality")</f>
        <v>0</v>
      </c>
      <c r="H249">
        <f>IFERROR(__xludf.DUMMYFUNCTION("""COMPUTED_VALUE"""),"select_one yes_no")</f>
        <v>0</v>
      </c>
    </row>
    <row r="250" spans="1:8">
      <c r="A250">
        <f>IFERROR(__xludf.DUMMYFUNCTION("""COMPUTED_VALUE"""),"17. In patient register available and is well maintained")</f>
        <v>0</v>
      </c>
      <c r="B250">
        <f>IFERROR(5B</f>
        <v>0</v>
      </c>
      <c r="D250">
        <f>IFERROR(__xludf.DUMMYFUNCTION("""COMPUTED_VALUE"""),"17. In patient register available and is well maintained")</f>
        <v>0</v>
      </c>
      <c r="H250">
        <f>IFERROR(__xludf.DUMMYFUNCTION("""COMPUTED_VALUE"""),"select_one yes_no")</f>
        <v>0</v>
      </c>
    </row>
    <row r="251" spans="1:8">
      <c r="A251">
        <f>IFERROR(__xludf.DUMMYFUNCTION("""COMPUTED_VALUE"""),"8.1 key comments")</f>
        <v>0</v>
      </c>
      <c r="B251">
        <f>IFERROR(1k</f>
        <v>0</v>
      </c>
      <c r="D251">
        <f>IFERROR(__xludf.DUMMYFUNCTION("""COMPUTED_VALUE"""),"8.1 key comments")</f>
        <v>0</v>
      </c>
      <c r="H251">
        <f>IFERROR(__xludf.DUMMYFUNCTION("""COMPUTED_VALUE"""),"text")</f>
        <v>0</v>
      </c>
    </row>
    <row r="252" spans="1:8">
      <c r="A252">
        <f>IFERROR(__xludf.DUMMYFUNCTION("""COMPUTED_VALUE"""),"8.1 action plan")</f>
        <v>0</v>
      </c>
      <c r="B252">
        <f>IFERROR(4s</f>
        <v>0</v>
      </c>
      <c r="D252">
        <f>IFERROR(__xludf.DUMMYFUNCTION("""COMPUTED_VALUE"""),"8.1 action plan")</f>
        <v>0</v>
      </c>
      <c r="H252">
        <f>IFERROR(__xludf.DUMMYFUNCTION("""COMPUTED_VALUE"""),"text")</f>
        <v>0</v>
      </c>
    </row>
    <row r="253" spans="1:8">
      <c r="A253">
        <f>IFERROR(__xludf.DUMMYFUNCTION("""COMPUTED_VALUE"""),"")</f>
        <v>0</v>
      </c>
      <c r="B253">
        <f>IFERROR(1D</f>
        <v>0</v>
      </c>
      <c r="D253">
        <f>IFERROR(__xludf.DUMMYFUNCTION("""COMPUTED_VALUE"""),"")</f>
        <v>0</v>
      </c>
      <c r="H253">
        <f>IFERROR(__xludf.DUMMYFUNCTION("""COMPUTED_VALUE"""),"calculate")</f>
        <v>0</v>
      </c>
    </row>
    <row r="254" spans="1:8">
      <c r="A254">
        <f>IFERROR(__xludf.DUMMYFUNCTION("""COMPUTED_VALUE"""),"")</f>
        <v>0</v>
      </c>
      <c r="B254">
        <f>IFERROR09q</f>
        <v>0</v>
      </c>
      <c r="D254">
        <f>IFERROR(__xludf.DUMMYFUNCTION("""COMPUTED_VALUE"""),"")</f>
        <v>0</v>
      </c>
      <c r="H254">
        <f>IFERROR(__xludf.DUMMYFUNCTION("""COMPUTED_VALUE"""),"end_group")</f>
        <v>0</v>
      </c>
    </row>
    <row r="255" spans="1:8">
      <c r="A255">
        <f>IFERROR(__xludf.DUMMYFUNCTION("""COMPUTED_VALUE"""),"8.2 In-patient Care Gyn/Obs ward: systematic random sample of 5 patient files from discharged patients who have delivered from the delivery register from the last quarter. ")</f>
        <v>0</v>
      </c>
      <c r="B255">
        <f>IFERROR(1I</f>
        <v>0</v>
      </c>
      <c r="D255">
        <f>IFERROR(__xludf.DUMMYFUNCTION("""COMPUTED_VALUE"""),"8.2 In-patient Care Gyn/Obs ward: systematic random sample of 5 patient files from discharged patients who have delivered from the delivery register from the last quarter. ")</f>
        <v>0</v>
      </c>
      <c r="H255">
        <f>IFERROR(__xludf.DUMMYFUNCTION("""COMPUTED_VALUE"""),"begin_group")</f>
        <v>0</v>
      </c>
    </row>
    <row r="256" spans="1:8">
      <c r="A256">
        <f>IFERROR(__xludf.DUMMYFUNCTION("""COMPUTED_VALUE"""),"18. Each patient file meets key standard requirements")</f>
        <v>0</v>
      </c>
      <c r="B256">
        <f>IFERROR(6E</f>
        <v>0</v>
      </c>
      <c r="D256">
        <f>IFERROR(__xludf.DUMMYFUNCTION("""COMPUTED_VALUE"""),"18. Each patient file meets key standard requirements")</f>
        <v>0</v>
      </c>
      <c r="H256">
        <f>IFERROR(__xludf.DUMMYFUNCTION("""COMPUTED_VALUE"""),"select_one yes_no")</f>
        <v>0</v>
      </c>
    </row>
    <row r="257" spans="1:8">
      <c r="A257">
        <f>IFERROR(__xludf.DUMMYFUNCTION("""COMPUTED_VALUE"""),"19. Clinical examination done")</f>
        <v>0</v>
      </c>
      <c r="B257">
        <f>IFERROR(0n</f>
        <v>0</v>
      </c>
      <c r="D257">
        <f>IFERROR(__xludf.DUMMYFUNCTION("""COMPUTED_VALUE"""),"19. Clinical examination done")</f>
        <v>0</v>
      </c>
      <c r="H257">
        <f>IFERROR(__xludf.DUMMYFUNCTION("""COMPUTED_VALUE"""),"select_one yes_no")</f>
        <v>0</v>
      </c>
    </row>
    <row r="258" spans="1:8">
      <c r="A258">
        <f>IFERROR(__xludf.DUMMYFUNCTION("""COMPUTED_VALUE"""),"20. Justification of clinical diagnosis and elaborate description of obstetrical proceedings (including post partum hemorrhage; pre-eclampsia; premature birth etc.). Compliance with MSF 'obstetric guidelines'.")</f>
        <v>0</v>
      </c>
      <c r="B258">
        <f>IFERROR(3J</f>
        <v>0</v>
      </c>
      <c r="D258">
        <f>IFERROR(__xludf.DUMMYFUNCTION("""COMPUTED_VALUE"""),"20. Justification of clinical diagnosis and elaborate description of obstetrical proceedings (including post partum hemorrhage; pre-eclampsia; premature birth etc.). Compliance with MSF 'obstetric guidelines'.")</f>
        <v>0</v>
      </c>
      <c r="H258">
        <f>IFERROR(__xludf.DUMMYFUNCTION("""COMPUTED_VALUE"""),"select_one yes_no")</f>
        <v>0</v>
      </c>
    </row>
    <row r="259" spans="1:8">
      <c r="A259">
        <f>IFERROR(__xludf.DUMMYFUNCTION("""COMPUTED_VALUE"""),"21. Notes on midwife/Dr daily examinations which include clinical examination")</f>
        <v>0</v>
      </c>
      <c r="B259">
        <f>IFERROR(8w</f>
        <v>0</v>
      </c>
      <c r="D259">
        <f>IFERROR(__xludf.DUMMYFUNCTION("""COMPUTED_VALUE"""),"21. Notes on midwife/Dr daily examinations which include clinical examination")</f>
        <v>0</v>
      </c>
      <c r="H259">
        <f>IFERROR(__xludf.DUMMYFUNCTION("""COMPUTED_VALUE"""),"select_one yes_no")</f>
        <v>0</v>
      </c>
    </row>
    <row r="260" spans="1:8">
      <c r="A260">
        <f>IFERROR(__xludf.DUMMYFUNCTION("""COMPUTED_VALUE"""),"22. Partograph: both sides filled correctly")</f>
        <v>0</v>
      </c>
      <c r="B260">
        <f>IFERROR(5K</f>
        <v>0</v>
      </c>
      <c r="D260">
        <f>IFERROR(__xludf.DUMMYFUNCTION("""COMPUTED_VALUE"""),"22. Partograph: both sides filled correctly")</f>
        <v>0</v>
      </c>
      <c r="H260">
        <f>IFERROR(__xludf.DUMMYFUNCTION("""COMPUTED_VALUE"""),"select_one yes_no")</f>
        <v>0</v>
      </c>
    </row>
    <row r="261" spans="1:8">
      <c r="A261">
        <f>IFERROR(__xludf.DUMMYFUNCTION("""COMPUTED_VALUE"""),"8.2 key comments")</f>
        <v>0</v>
      </c>
      <c r="B261">
        <f>IFERROR(9L</f>
        <v>0</v>
      </c>
      <c r="D261">
        <f>IFERROR(__xludf.DUMMYFUNCTION("""COMPUTED_VALUE"""),"8.2 key comments")</f>
        <v>0</v>
      </c>
      <c r="H261">
        <f>IFERROR(__xludf.DUMMYFUNCTION("""COMPUTED_VALUE"""),"text")</f>
        <v>0</v>
      </c>
    </row>
    <row r="262" spans="1:8">
      <c r="A262">
        <f>IFERROR(__xludf.DUMMYFUNCTION("""COMPUTED_VALUE"""),"8.2 action plan")</f>
        <v>0</v>
      </c>
      <c r="B262">
        <f>IFERROR(5v</f>
        <v>0</v>
      </c>
      <c r="D262">
        <f>IFERROR(__xludf.DUMMYFUNCTION("""COMPUTED_VALUE"""),"8.2 action plan")</f>
        <v>0</v>
      </c>
      <c r="H262">
        <f>IFERROR(__xludf.DUMMYFUNCTION("""COMPUTED_VALUE"""),"text")</f>
        <v>0</v>
      </c>
    </row>
    <row r="263" spans="1:8">
      <c r="A263">
        <f>IFERROR(__xludf.DUMMYFUNCTION("""COMPUTED_VALUE"""),"")</f>
        <v>0</v>
      </c>
      <c r="B263">
        <f>IFERROR(1U</f>
        <v>0</v>
      </c>
      <c r="D263">
        <f>IFERROR(__xludf.DUMMYFUNCTION("""COMPUTED_VALUE"""),"")</f>
        <v>0</v>
      </c>
      <c r="H263">
        <f>IFERROR(__xludf.DUMMYFUNCTION("""COMPUTED_VALUE"""),"calculate")</f>
        <v>0</v>
      </c>
    </row>
    <row r="264" spans="1:8">
      <c r="A264">
        <f>IFERROR(__xludf.DUMMYFUNCTION("""COMPUTED_VALUE"""),"")</f>
        <v>0</v>
      </c>
      <c r="B264">
        <f>IFERROR01y</f>
        <v>0</v>
      </c>
      <c r="D264">
        <f>IFERROR(__xludf.DUMMYFUNCTION("""COMPUTED_VALUE"""),"")</f>
        <v>0</v>
      </c>
      <c r="H264">
        <f>IFERROR(__xludf.DUMMYFUNCTION("""COMPUTED_VALUE"""),"end_group")</f>
        <v>0</v>
      </c>
    </row>
    <row r="265" spans="1:8">
      <c r="A265">
        <f>IFERROR(__xludf.DUMMYFUNCTION("""COMPUTED_VALUE"""),"")</f>
        <v>0</v>
      </c>
      <c r="B265">
        <f>IFERROR02t</f>
        <v>0</v>
      </c>
      <c r="D265">
        <f>IFERROR(__xludf.DUMMYFUNCTION("""COMPUTED_VALUE"""),"")</f>
        <v>0</v>
      </c>
      <c r="H265">
        <f>IFERROR(__xludf.DUMMYFUNCTION("""COMPUTED_VALUE"""),"end_group")</f>
        <v>0</v>
      </c>
    </row>
    <row r="266" spans="1:8">
      <c r="A266">
        <f>IFERROR(__xludf.DUMMYFUNCTION("""COMPUTED_VALUE"""),"8.3 In-patient Care Pediatric ward: systematic random sample of 5 patient files from discharged patients from the admission register from the last quarter. ")</f>
        <v>0</v>
      </c>
      <c r="B266">
        <f>IFERROR(9c</f>
        <v>0</v>
      </c>
      <c r="D266">
        <f>IFERROR(__xludf.DUMMYFUNCTION("""COMPUTED_VALUE"""),"8.3 In-patient Care Pediatric ward: systematic random sample of 5 patient files from discharged patients from the admission register from the last quarter. ")</f>
        <v>0</v>
      </c>
      <c r="H266">
        <f>IFERROR(__xludf.DUMMYFUNCTION("""COMPUTED_VALUE"""),"begin_group")</f>
        <v>0</v>
      </c>
    </row>
    <row r="267" spans="1:8">
      <c r="A267">
        <f>IFERROR(__xludf.DUMMYFUNCTION("""COMPUTED_VALUE"""),"23. Each patient file meets key standard requirements")</f>
        <v>0</v>
      </c>
      <c r="B267">
        <f>IFERROR(6X</f>
        <v>0</v>
      </c>
      <c r="D267">
        <f>IFERROR(__xludf.DUMMYFUNCTION("""COMPUTED_VALUE"""),"23. Each patient file meets key standard requirements")</f>
        <v>0</v>
      </c>
      <c r="H267">
        <f>IFERROR(__xludf.DUMMYFUNCTION("""COMPUTED_VALUE"""),"select_one yes_no")</f>
        <v>0</v>
      </c>
    </row>
    <row r="268" spans="1:8">
      <c r="A268">
        <f>IFERROR(__xludf.DUMMYFUNCTION("""COMPUTED_VALUE"""),"24. Clinical examination done ")</f>
        <v>0</v>
      </c>
      <c r="B268">
        <f>IFERROR(7G</f>
        <v>0</v>
      </c>
      <c r="D268">
        <f>IFERROR(__xludf.DUMMYFUNCTION("""COMPUTED_VALUE"""),"24. Clinical examination done ")</f>
        <v>0</v>
      </c>
      <c r="H268">
        <f>IFERROR(__xludf.DUMMYFUNCTION("""COMPUTED_VALUE"""),"select_one yes_no")</f>
        <v>0</v>
      </c>
    </row>
    <row r="269" spans="1:8">
      <c r="A269">
        <f>IFERROR(__xludf.DUMMYFUNCTION("""COMPUTED_VALUE"""),"25. Scope of laboratory and other examination corresponds to clinical diagnosis and is compliant with clinical protocols and results of lab tests. Compliance with MSF 'treatment guidelines'. ")</f>
        <v>0</v>
      </c>
      <c r="B269">
        <f>IFERROR(1q</f>
        <v>0</v>
      </c>
      <c r="D269">
        <f>IFERROR(__xludf.DUMMYFUNCTION("""COMPUTED_VALUE"""),"25. Scope of laboratory and other examination corresponds to clinical diagnosis and is compliant with clinical protocols and results of lab tests. Compliance with MSF 'treatment guidelines'. ")</f>
        <v>0</v>
      </c>
      <c r="H269">
        <f>IFERROR(__xludf.DUMMYFUNCTION("""COMPUTED_VALUE"""),"select_one yes_no")</f>
        <v>0</v>
      </c>
    </row>
    <row r="270" spans="1:8">
      <c r="A270">
        <f>IFERROR(__xludf.DUMMYFUNCTION("""COMPUTED_VALUE"""),"26. Notes on Dr daily examinations which include clinical examination ")</f>
        <v>0</v>
      </c>
      <c r="B270">
        <f>IFERROR(9f</f>
        <v>0</v>
      </c>
      <c r="D270">
        <f>IFERROR(__xludf.DUMMYFUNCTION("""COMPUTED_VALUE"""),"26. Notes on Dr daily examinations which include clinical examination ")</f>
        <v>0</v>
      </c>
      <c r="H270">
        <f>IFERROR(__xludf.DUMMYFUNCTION("""COMPUTED_VALUE"""),"select_one yes_no")</f>
        <v>0</v>
      </c>
    </row>
    <row r="271" spans="1:8">
      <c r="A271">
        <f>IFERROR(__xludf.DUMMYFUNCTION("""COMPUTED_VALUE"""),"8.3 key comments")</f>
        <v>0</v>
      </c>
      <c r="B271">
        <f>IFERROR(8d</f>
        <v>0</v>
      </c>
      <c r="D271">
        <f>IFERROR(__xludf.DUMMYFUNCTION("""COMPUTED_VALUE"""),"8.3 key comments")</f>
        <v>0</v>
      </c>
      <c r="H271">
        <f>IFERROR(__xludf.DUMMYFUNCTION("""COMPUTED_VALUE"""),"text")</f>
        <v>0</v>
      </c>
    </row>
    <row r="272" spans="1:8">
      <c r="A272">
        <f>IFERROR(__xludf.DUMMYFUNCTION("""COMPUTED_VALUE"""),"8.3 action plan")</f>
        <v>0</v>
      </c>
      <c r="B272">
        <f>IFERROR(6Y</f>
        <v>0</v>
      </c>
      <c r="D272">
        <f>IFERROR(__xludf.DUMMYFUNCTION("""COMPUTED_VALUE"""),"8.3 action plan")</f>
        <v>0</v>
      </c>
      <c r="H272">
        <f>IFERROR(__xludf.DUMMYFUNCTION("""COMPUTED_VALUE"""),"text")</f>
        <v>0</v>
      </c>
    </row>
    <row r="273" spans="1:8">
      <c r="A273">
        <f>IFERROR(__xludf.DUMMYFUNCTION("""COMPUTED_VALUE"""),"")</f>
        <v>0</v>
      </c>
      <c r="B273">
        <f>IFERROR(6X</f>
        <v>0</v>
      </c>
      <c r="D273">
        <f>IFERROR(__xludf.DUMMYFUNCTION("""COMPUTED_VALUE"""),"")</f>
        <v>0</v>
      </c>
      <c r="H273">
        <f>IFERROR(__xludf.DUMMYFUNCTION("""COMPUTED_VALUE"""),"calculate")</f>
        <v>0</v>
      </c>
    </row>
    <row r="274" spans="1:8">
      <c r="A274">
        <f>IFERROR(__xludf.DUMMYFUNCTION("""COMPUTED_VALUE"""),"")</f>
        <v>0</v>
      </c>
      <c r="B274">
        <f>IFERROR08b</f>
        <v>0</v>
      </c>
      <c r="D274">
        <f>IFERROR(__xludf.DUMMYFUNCTION("""COMPUTED_VALUE"""),"")</f>
        <v>0</v>
      </c>
      <c r="H274">
        <f>IFERROR(__xludf.DUMMYFUNCTION("""COMPUTED_VALUE"""),"end_group")</f>
        <v>0</v>
      </c>
    </row>
    <row r="275" spans="1:8">
      <c r="A275">
        <f>IFERROR(__xludf.DUMMYFUNCTION("""COMPUTED_VALUE"""),"8.4 In-patient Care Surgical ward: systematic random sample of 5 patient files from discharged patients who had large surgical procedures from the admission register from the last quarter. ")</f>
        <v>0</v>
      </c>
      <c r="B275">
        <f>IFERROR(9X</f>
        <v>0</v>
      </c>
      <c r="D275">
        <f>IFERROR(__xludf.DUMMYFUNCTION("""COMPUTED_VALUE"""),"8.4 In-patient Care Surgical ward: systematic random sample of 5 patient files from discharged patients who had large surgical procedures from the admission register from the last quarter. ")</f>
        <v>0</v>
      </c>
      <c r="H275">
        <f>IFERROR(__xludf.DUMMYFUNCTION("""COMPUTED_VALUE"""),"begin_group")</f>
        <v>0</v>
      </c>
    </row>
    <row r="276" spans="1:8">
      <c r="A276">
        <f>IFERROR(__xludf.DUMMYFUNCTION("""COMPUTED_VALUE"""),"27. Each patient file meets key standard requirements")</f>
        <v>0</v>
      </c>
      <c r="B276">
        <f>IFERROR(1r</f>
        <v>0</v>
      </c>
      <c r="D276">
        <f>IFERROR(__xludf.DUMMYFUNCTION("""COMPUTED_VALUE"""),"27. Each patient file meets key standard requirements")</f>
        <v>0</v>
      </c>
      <c r="H276">
        <f>IFERROR(__xludf.DUMMYFUNCTION("""COMPUTED_VALUE"""),"select_one yes_no")</f>
        <v>0</v>
      </c>
    </row>
    <row r="277" spans="1:8">
      <c r="A277">
        <f>IFERROR(__xludf.DUMMYFUNCTION("""COMPUTED_VALUE"""),"28. Clinical examination done")</f>
        <v>0</v>
      </c>
      <c r="B277">
        <f>IFERROR(3x</f>
        <v>0</v>
      </c>
      <c r="D277">
        <f>IFERROR(__xludf.DUMMYFUNCTION("""COMPUTED_VALUE"""),"28. Clinical examination done")</f>
        <v>0</v>
      </c>
      <c r="H277">
        <f>IFERROR(__xludf.DUMMYFUNCTION("""COMPUTED_VALUE"""),"select_one yes_no")</f>
        <v>0</v>
      </c>
    </row>
    <row r="278" spans="1:8">
      <c r="A278">
        <f>IFERROR(__xludf.DUMMYFUNCTION("""COMPUTED_VALUE"""),"29. Report on surgical procedure and anesthetic method used")</f>
        <v>0</v>
      </c>
      <c r="B278">
        <f>IFERROR(1L</f>
        <v>0</v>
      </c>
      <c r="D278">
        <f>IFERROR(__xludf.DUMMYFUNCTION("""COMPUTED_VALUE"""),"29. Report on surgical procedure and anesthetic method used")</f>
        <v>0</v>
      </c>
      <c r="H278">
        <f>IFERROR(__xludf.DUMMYFUNCTION("""COMPUTED_VALUE"""),"select_one yes_no")</f>
        <v>0</v>
      </c>
    </row>
    <row r="279" spans="1:8">
      <c r="A279">
        <f>IFERROR(__xludf.DUMMYFUNCTION("""COMPUTED_VALUE"""),"30. Notes on doctor's daily examinations which include clinical examination")</f>
        <v>0</v>
      </c>
      <c r="B279">
        <f>IFERROR(1J</f>
        <v>0</v>
      </c>
      <c r="D279">
        <f>IFERROR(__xludf.DUMMYFUNCTION("""COMPUTED_VALUE"""),"30. Notes on doctor's daily examinations which include clinical examination")</f>
        <v>0</v>
      </c>
      <c r="H279">
        <f>IFERROR(__xludf.DUMMYFUNCTION("""COMPUTED_VALUE"""),"select_one yes_no")</f>
        <v>0</v>
      </c>
    </row>
    <row r="280" spans="1:8">
      <c r="A280">
        <f>IFERROR(__xludf.DUMMYFUNCTION("""COMPUTED_VALUE"""),"31. Registration of post operative infection, if any")</f>
        <v>0</v>
      </c>
      <c r="B280">
        <f>IFERROR(0E</f>
        <v>0</v>
      </c>
      <c r="D280">
        <f>IFERROR(__xludf.DUMMYFUNCTION("""COMPUTED_VALUE"""),"31. Registration of post operative infection, if any")</f>
        <v>0</v>
      </c>
      <c r="H280">
        <f>IFERROR(__xludf.DUMMYFUNCTION("""COMPUTED_VALUE"""),"select_one yes_no")</f>
        <v>0</v>
      </c>
    </row>
    <row r="281" spans="1:8">
      <c r="A281">
        <f>IFERROR(__xludf.DUMMYFUNCTION("""COMPUTED_VALUE"""),"8.4 key comments")</f>
        <v>0</v>
      </c>
      <c r="B281">
        <f>IFERROR(8o</f>
        <v>0</v>
      </c>
      <c r="D281">
        <f>IFERROR(__xludf.DUMMYFUNCTION("""COMPUTED_VALUE"""),"8.4 key comments")</f>
        <v>0</v>
      </c>
      <c r="H281">
        <f>IFERROR(__xludf.DUMMYFUNCTION("""COMPUTED_VALUE"""),"text")</f>
        <v>0</v>
      </c>
    </row>
    <row r="282" spans="1:8">
      <c r="A282">
        <f>IFERROR(__xludf.DUMMYFUNCTION("""COMPUTED_VALUE"""),"8.4 action plan")</f>
        <v>0</v>
      </c>
      <c r="B282">
        <f>IFERROR(2a</f>
        <v>0</v>
      </c>
      <c r="D282">
        <f>IFERROR(__xludf.DUMMYFUNCTION("""COMPUTED_VALUE"""),"8.4 action plan")</f>
        <v>0</v>
      </c>
      <c r="H282">
        <f>IFERROR(__xludf.DUMMYFUNCTION("""COMPUTED_VALUE"""),"text")</f>
        <v>0</v>
      </c>
    </row>
    <row r="283" spans="1:8">
      <c r="A283">
        <f>IFERROR(__xludf.DUMMYFUNCTION("""COMPUTED_VALUE"""),"")</f>
        <v>0</v>
      </c>
      <c r="B283">
        <f>IFERROR(6o</f>
        <v>0</v>
      </c>
      <c r="D283">
        <f>IFERROR(__xludf.DUMMYFUNCTION("""COMPUTED_VALUE"""),"")</f>
        <v>0</v>
      </c>
      <c r="H283">
        <f>IFERROR(__xludf.DUMMYFUNCTION("""COMPUTED_VALUE"""),"calculate")</f>
        <v>0</v>
      </c>
    </row>
    <row r="284" spans="1:8">
      <c r="A284">
        <f>IFERROR(__xludf.DUMMYFUNCTION("""COMPUTED_VALUE"""),"")</f>
        <v>0</v>
      </c>
      <c r="B284">
        <f>IFERROR03R</f>
        <v>0</v>
      </c>
      <c r="D284">
        <f>IFERROR(__xludf.DUMMYFUNCTION("""COMPUTED_VALUE"""),"")</f>
        <v>0</v>
      </c>
      <c r="H284">
        <f>IFERROR(__xludf.DUMMYFUNCTION("""COMPUTED_VALUE"""),"end_group")</f>
        <v>0</v>
      </c>
    </row>
    <row r="285" spans="1:8">
      <c r="A285">
        <f>IFERROR(__xludf.DUMMYFUNCTION("""COMPUTED_VALUE"""),"")</f>
        <v>0</v>
      </c>
      <c r="B285">
        <f>IFERROR(0C</f>
        <v>0</v>
      </c>
      <c r="D285">
        <f>IFERROR(__xludf.DUMMYFUNCTION("""COMPUTED_VALUE"""),"")</f>
        <v>0</v>
      </c>
      <c r="H285">
        <f>IFERROR(__xludf.DUMMYFUNCTION("""COMPUTED_VALUE"""),"calculate")</f>
        <v>0</v>
      </c>
    </row>
    <row r="286" spans="1:8">
      <c r="A286">
        <f>IFERROR(__xludf.DUMMYFUNCTION("""COMPUTED_VALUE"""),"Section 9. Essential Drugs Management")</f>
        <v>0</v>
      </c>
      <c r="B286">
        <f>IFERROR(1h</f>
        <v>0</v>
      </c>
      <c r="D286">
        <f>IFERROR(__xludf.DUMMYFUNCTION("""COMPUTED_VALUE"""),"Section 9. Essential Drugs Management")</f>
        <v>0</v>
      </c>
      <c r="H286">
        <f>IFERROR(__xludf.DUMMYFUNCTION("""COMPUTED_VALUE"""),"begin_group")</f>
        <v>0</v>
      </c>
    </row>
    <row r="287" spans="1:8">
      <c r="A287">
        <f>IFERROR(__xludf.DUMMYFUNCTION("""COMPUTED_VALUE"""),"1. Staff maintains stock cards for ED showing security stock levels = monthly average consumption (MAC= at least last six months Consumption divided by six) * 2 (two months monthly average consumption)")</f>
        <v>0</v>
      </c>
      <c r="B287">
        <f>IFERROR(7o</f>
        <v>0</v>
      </c>
      <c r="D287">
        <f>IFERROR(__xludf.DUMMYFUNCTION("""COMPUTED_VALUE"""),"1. Staff maintains stock cards for ED showing security stock levels = monthly average consumption (MAC= at least last six months Consumption divided by six) * 2 (two months monthly average consumption)")</f>
        <v>0</v>
      </c>
      <c r="H287">
        <f>IFERROR(__xludf.DUMMYFUNCTION("""COMPUTED_VALUE"""),"select_one yes4_no0")</f>
        <v>0</v>
      </c>
    </row>
    <row r="288" spans="1:8">
      <c r="A288">
        <f>IFERROR(__xludf.DUMMYFUNCTION("""COMPUTED_VALUE"""),"2. Health facility purchases drugs, equipment and consumables from the Pharmaceutical Council of Nigeria certified distributor, approved by SMOH/SPHCDA")</f>
        <v>0</v>
      </c>
      <c r="B288">
        <f>IFERROR(3K</f>
        <v>0</v>
      </c>
      <c r="D288">
        <f>IFERROR(__xludf.DUMMYFUNCTION("""COMPUTED_VALUE"""),"2. Health facility purchases drugs, equipment and consumables from the Pharmaceutical Council of Nigeria certified distributor, approved by SMOH/SPHCDA")</f>
        <v>0</v>
      </c>
      <c r="H288">
        <f>IFERROR(__xludf.DUMMYFUNCTION("""COMPUTED_VALUE"""),"select_one yes3_no0")</f>
        <v>0</v>
      </c>
    </row>
    <row r="289" spans="1:8">
      <c r="A289">
        <f>IFERROR(__xludf.DUMMYFUNCTION("""COMPUTED_VALUE"""),"3. Main pharmacy store delivers drugs to health facility departments according to requisition")</f>
        <v>0</v>
      </c>
      <c r="B289">
        <f>IFERROR(2Z</f>
        <v>0</v>
      </c>
      <c r="D289">
        <f>IFERROR(__xludf.DUMMYFUNCTION("""COMPUTED_VALUE"""),"3. Main pharmacy store delivers drugs to health facility departments according to requisition")</f>
        <v>0</v>
      </c>
      <c r="H289">
        <f>IFERROR(__xludf.DUMMYFUNCTION("""COMPUTED_VALUE"""),"select_one yes10_no0")</f>
        <v>0</v>
      </c>
    </row>
    <row r="290" spans="1:8">
      <c r="A290">
        <f>IFERROR(__xludf.DUMMYFUNCTION("""COMPUTED_VALUE"""),"4. Drugs stored correctly")</f>
        <v>0</v>
      </c>
      <c r="B290">
        <f>IFERROR(1Z</f>
        <v>0</v>
      </c>
      <c r="D290">
        <f>IFERROR(__xludf.DUMMYFUNCTION("""COMPUTED_VALUE"""),"4. Drugs stored correctly")</f>
        <v>0</v>
      </c>
      <c r="H290">
        <f>IFERROR(__xludf.DUMMYFUNCTION("""COMPUTED_VALUE"""),"select_one yes2_no0")</f>
        <v>0</v>
      </c>
    </row>
    <row r="291" spans="1:8">
      <c r="A291">
        <f>IFERROR(__xludf.DUMMYFUNCTION("""COMPUTED_VALUE"""),"5. Absence of out of date drugs or drugs with unreadable labels")</f>
        <v>0</v>
      </c>
      <c r="B291">
        <f>IFERROR(5l</f>
        <v>0</v>
      </c>
      <c r="D291">
        <f>IFERROR(__xludf.DUMMYFUNCTION("""COMPUTED_VALUE"""),"5. Absence of out of date drugs or drugs with unreadable labels")</f>
        <v>0</v>
      </c>
      <c r="H291">
        <f>IFERROR(__xludf.DUMMYFUNCTION("""COMPUTED_VALUE"""),"select_one yes1_no0")</f>
        <v>0</v>
      </c>
    </row>
    <row r="292" spans="1:8">
      <c r="A292">
        <f>IFERROR(__xludf.DUMMYFUNCTION("""COMPUTED_VALUE"""),"9.0 key comments")</f>
        <v>0</v>
      </c>
      <c r="B292">
        <f>IFERROR(8k</f>
        <v>0</v>
      </c>
      <c r="D292">
        <f>IFERROR(__xludf.DUMMYFUNCTION("""COMPUTED_VALUE"""),"9.0 key comments")</f>
        <v>0</v>
      </c>
      <c r="H292">
        <f>IFERROR(__xludf.DUMMYFUNCTION("""COMPUTED_VALUE"""),"text")</f>
        <v>0</v>
      </c>
    </row>
    <row r="293" spans="1:8">
      <c r="A293">
        <f>IFERROR(__xludf.DUMMYFUNCTION("""COMPUTED_VALUE"""),"9.0 action plan")</f>
        <v>0</v>
      </c>
      <c r="B293">
        <f>IFERROR(1h</f>
        <v>0</v>
      </c>
      <c r="D293">
        <f>IFERROR(__xludf.DUMMYFUNCTION("""COMPUTED_VALUE"""),"9.0 action plan")</f>
        <v>0</v>
      </c>
      <c r="H293">
        <f>IFERROR(__xludf.DUMMYFUNCTION("""COMPUTED_VALUE"""),"text")</f>
        <v>0</v>
      </c>
    </row>
    <row r="294" spans="1:8">
      <c r="A294">
        <f>IFERROR(__xludf.DUMMYFUNCTION("""COMPUTED_VALUE"""),"")</f>
        <v>0</v>
      </c>
      <c r="B294">
        <f>IFERROR(2M</f>
        <v>0</v>
      </c>
      <c r="D294">
        <f>IFERROR(__xludf.DUMMYFUNCTION("""COMPUTED_VALUE"""),"")</f>
        <v>0</v>
      </c>
      <c r="H294">
        <f>IFERROR(__xludf.DUMMYFUNCTION("""COMPUTED_VALUE"""),"calculate")</f>
        <v>0</v>
      </c>
    </row>
    <row r="295" spans="1:8">
      <c r="A295">
        <f>IFERROR(__xludf.DUMMYFUNCTION("""COMPUTED_VALUE"""),"")</f>
        <v>0</v>
      </c>
      <c r="B295">
        <f>IFERROR04T</f>
        <v>0</v>
      </c>
      <c r="D295">
        <f>IFERROR(__xludf.DUMMYFUNCTION("""COMPUTED_VALUE"""),"")</f>
        <v>0</v>
      </c>
      <c r="H295">
        <f>IFERROR(__xludf.DUMMYFUNCTION("""COMPUTED_VALUE"""),"end_group")</f>
        <v>0</v>
      </c>
    </row>
    <row r="296" spans="1:8">
      <c r="A296">
        <f>IFERROR(__xludf.DUMMYFUNCTION("""COMPUTED_VALUE"""),"Section 10. O&amp;G")</f>
        <v>0</v>
      </c>
      <c r="B296">
        <f>IFERROR(1G</f>
        <v>0</v>
      </c>
      <c r="D296">
        <f>IFERROR(__xludf.DUMMYFUNCTION("""COMPUTED_VALUE"""),"Section 10. O&amp;G")</f>
        <v>0</v>
      </c>
      <c r="H296">
        <f>IFERROR(__xludf.DUMMYFUNCTION("""COMPUTED_VALUE"""),"begin_group")</f>
        <v>0</v>
      </c>
    </row>
    <row r="297" spans="1:8">
      <c r="A297">
        <f>IFERROR(__xludf.DUMMYFUNCTION("""COMPUTED_VALUE"""),"Does this facility provide O&amp;G Services ?")</f>
        <v>0</v>
      </c>
      <c r="B297">
        <f>IFERROR(7l</f>
        <v>0</v>
      </c>
      <c r="D297">
        <f>IFERROR(__xludf.DUMMYFUNCTION("""COMPUTED_VALUE"""),"Does this facility provide O&amp;G Services ?")</f>
        <v>0</v>
      </c>
      <c r="H297">
        <f>IFERROR(__xludf.DUMMYFUNCTION("""COMPUTED_VALUE"""),"select_one yes_no")</f>
        <v>0</v>
      </c>
    </row>
    <row r="298" spans="1:8">
      <c r="A298">
        <f>IFERROR(__xludf.DUMMYFUNCTION("""COMPUTED_VALUE"""),"10.1 Maternity")</f>
        <v>0</v>
      </c>
      <c r="B298">
        <f>IFERROR(1v</f>
        <v>0</v>
      </c>
      <c r="D298">
        <f>IFERROR(__xludf.DUMMYFUNCTION("""COMPUTED_VALUE"""),"10.1 Maternity")</f>
        <v>0</v>
      </c>
      <c r="H298">
        <f>IFERROR(__xludf.DUMMYFUNCTION("""COMPUTED_VALUE"""),"begin_group")</f>
        <v>0</v>
      </c>
    </row>
    <row r="299" spans="1:8">
      <c r="A299">
        <f>IFERROR(__xludf.DUMMYFUNCTION("""COMPUTED_VALUE"""),"1. Sufficient water with antiseptic soap and liquid antiseptic in delivery room")</f>
        <v>0</v>
      </c>
      <c r="B299">
        <f>IFERROR(7f</f>
        <v>0</v>
      </c>
      <c r="D299">
        <f>IFERROR(__xludf.DUMMYFUNCTION("""COMPUTED_VALUE"""),"1. Sufficient water with antiseptic soap and liquid antiseptic in delivery room")</f>
        <v>0</v>
      </c>
      <c r="H299">
        <f>IFERROR(__xludf.DUMMYFUNCTION("""COMPUTED_VALUE"""),"select_one yes2_no0")</f>
        <v>0</v>
      </c>
    </row>
    <row r="300" spans="1:8">
      <c r="A300">
        <f>IFERROR(__xludf.DUMMYFUNCTION("""COMPUTED_VALUE"""),"2. Light in delivery room 24 hours")</f>
        <v>0</v>
      </c>
      <c r="B300">
        <f>IFERROR(4j</f>
        <v>0</v>
      </c>
      <c r="D300">
        <f>IFERROR(__xludf.DUMMYFUNCTION("""COMPUTED_VALUE"""),"2. Light in delivery room 24 hours")</f>
        <v>0</v>
      </c>
      <c r="H300">
        <f>IFERROR(__xludf.DUMMYFUNCTION("""COMPUTED_VALUE"""),"select_one yes1_no0")</f>
        <v>0</v>
      </c>
    </row>
    <row r="301" spans="1:8">
      <c r="A301">
        <f>IFERROR(__xludf.DUMMYFUNCTION("""COMPUTED_VALUE"""),"3. Waste from Maternity correctly handled")</f>
        <v>0</v>
      </c>
      <c r="B301">
        <f>IFERROR(7h</f>
        <v>0</v>
      </c>
      <c r="D301">
        <f>IFERROR(__xludf.DUMMYFUNCTION("""COMPUTED_VALUE"""),"3. Waste from Maternity correctly handled")</f>
        <v>0</v>
      </c>
      <c r="H301">
        <f>IFERROR(__xludf.DUMMYFUNCTION("""COMPUTED_VALUE"""),"select_one yes1_no0")</f>
        <v>0</v>
      </c>
    </row>
    <row r="302" spans="1:8">
      <c r="A302">
        <f>IFERROR(__xludf.DUMMYFUNCTION("""COMPUTED_VALUE"""),"4. Delivery room is well-maintained")</f>
        <v>0</v>
      </c>
      <c r="B302">
        <f>IFERROR(9m</f>
        <v>0</v>
      </c>
      <c r="D302">
        <f>IFERROR(__xludf.DUMMYFUNCTION("""COMPUTED_VALUE"""),"4. Delivery room is well-maintained")</f>
        <v>0</v>
      </c>
      <c r="H302">
        <f>IFERROR(__xludf.DUMMYFUNCTION("""COMPUTED_VALUE"""),"select_one yes5_no0")</f>
        <v>0</v>
      </c>
    </row>
    <row r="303" spans="1:8">
      <c r="A303">
        <f>IFERROR(__xludf.DUMMYFUNCTION("""COMPUTED_VALUE"""),"5. Availability and use of the partograph")</f>
        <v>0</v>
      </c>
      <c r="B303">
        <f>IFERROR(3Y</f>
        <v>0</v>
      </c>
      <c r="D303">
        <f>IFERROR(__xludf.DUMMYFUNCTION("""COMPUTED_VALUE"""),"5. Availability and use of the partograph")</f>
        <v>0</v>
      </c>
      <c r="H303">
        <f>IFERROR(__xludf.DUMMYFUNCTION("""COMPUTED_VALUE"""),"select_one yes2_no0")</f>
        <v>0</v>
      </c>
    </row>
    <row r="304" spans="1:8">
      <c r="A304">
        <f>IFERROR(__xludf.DUMMYFUNCTION("""COMPUTED_VALUE"""),"6. Deliveries performed by skilled personnel")</f>
        <v>0</v>
      </c>
      <c r="B304">
        <f>IFERROR(9A</f>
        <v>0</v>
      </c>
      <c r="D304">
        <f>IFERROR(__xludf.DUMMYFUNCTION("""COMPUTED_VALUE"""),"6. Deliveries performed by skilled personnel")</f>
        <v>0</v>
      </c>
      <c r="H304">
        <f>IFERROR(__xludf.DUMMYFUNCTION("""COMPUTED_VALUE"""),"select_one yes2_no0")</f>
        <v>0</v>
      </c>
    </row>
    <row r="305" spans="1:8">
      <c r="A305">
        <f>IFERROR(__xludf.DUMMYFUNCTION("""COMPUTED_VALUE"""),"7. Availability of scales for weight/length, an obstetrical stethoscope and an aspirator")</f>
        <v>0</v>
      </c>
      <c r="B305">
        <f>IFERROR(7t</f>
        <v>0</v>
      </c>
      <c r="D305">
        <f>IFERROR(__xludf.DUMMYFUNCTION("""COMPUTED_VALUE"""),"7. Availability of scales for weight/length, an obstetrical stethoscope and an aspirator")</f>
        <v>0</v>
      </c>
      <c r="H305">
        <f>IFERROR(__xludf.DUMMYFUNCTION("""COMPUTED_VALUE"""),"select_one yes2_no0")</f>
        <v>0</v>
      </c>
    </row>
    <row r="306" spans="1:8">
      <c r="A306">
        <f>IFERROR(__xludf.DUMMYFUNCTION("""COMPUTED_VALUE"""),"8. Availability of a functional vacuum extractor")</f>
        <v>0</v>
      </c>
      <c r="B306">
        <f>IFERROR(0V</f>
        <v>0</v>
      </c>
      <c r="D306">
        <f>IFERROR(__xludf.DUMMYFUNCTION("""COMPUTED_VALUE"""),"8. Availability of a functional vacuum extractor")</f>
        <v>0</v>
      </c>
      <c r="H306">
        <f>IFERROR(__xludf.DUMMYFUNCTION("""COMPUTED_VALUE"""),"select_one yes3_no0")</f>
        <v>0</v>
      </c>
    </row>
    <row r="307" spans="1:8">
      <c r="A307">
        <f>IFERROR(__xludf.DUMMYFUNCTION("""COMPUTED_VALUE"""),"9. Is there a resuscitation area for the newborn?")</f>
        <v>0</v>
      </c>
      <c r="B307">
        <f>IFERROR(4h</f>
        <v>0</v>
      </c>
      <c r="D307">
        <f>IFERROR(__xludf.DUMMYFUNCTION("""COMPUTED_VALUE"""),"9. Is there a resuscitation area for the newborn?")</f>
        <v>0</v>
      </c>
      <c r="H307">
        <f>IFERROR(__xludf.DUMMYFUNCTION("""COMPUTED_VALUE"""),"select_one yes1_no0")</f>
        <v>0</v>
      </c>
    </row>
    <row r="308" spans="1:8">
      <c r="A308">
        <f>IFERROR(__xludf.DUMMYFUNCTION("""COMPUTED_VALUE"""),"10. If yes, is there a neonatal ambubag with face masks of sizes 0 and 1?")</f>
        <v>0</v>
      </c>
      <c r="B308">
        <f>IFERROR(3N</f>
        <v>0</v>
      </c>
      <c r="D308">
        <f>IFERROR(__xludf.DUMMYFUNCTION("""COMPUTED_VALUE"""),"10. If yes, is there a neonatal ambubag with face masks of sizes 0 and 1?")</f>
        <v>0</v>
      </c>
      <c r="H308">
        <f>IFERROR(__xludf.DUMMYFUNCTION("""COMPUTED_VALUE"""),"select_one yes1_no0")</f>
        <v>0</v>
      </c>
    </row>
    <row r="309" spans="1:8">
      <c r="A309">
        <f>IFERROR(__xludf.DUMMYFUNCTION("""COMPUTED_VALUE"""),"11. Is there a penguin suction device or a functional electric aspirator?")</f>
        <v>0</v>
      </c>
      <c r="B309">
        <f>IFERROR(8s</f>
        <v>0</v>
      </c>
      <c r="D309">
        <f>IFERROR(__xludf.DUMMYFUNCTION("""COMPUTED_VALUE"""),"11. Is there a penguin suction device or a functional electric aspirator?")</f>
        <v>0</v>
      </c>
      <c r="H309">
        <f>IFERROR(__xludf.DUMMYFUNCTION("""COMPUTED_VALUE"""),"select_one yes1_no0")</f>
        <v>0</v>
      </c>
    </row>
    <row r="310" spans="1:8">
      <c r="A310">
        <f>IFERROR(__xludf.DUMMYFUNCTION("""COMPUTED_VALUE"""),"12. Has any of the workers been trained on ENCC?")</f>
        <v>0</v>
      </c>
      <c r="B310">
        <f>IFERROR(9b</f>
        <v>0</v>
      </c>
      <c r="D310">
        <f>IFERROR(__xludf.DUMMYFUNCTION("""COMPUTED_VALUE"""),"12. Has any of the workers been trained on ENCC?")</f>
        <v>0</v>
      </c>
      <c r="H310">
        <f>IFERROR(__xludf.DUMMYFUNCTION("""COMPUTED_VALUE"""),"select_one yes1_no0")</f>
        <v>0</v>
      </c>
    </row>
    <row r="311" spans="1:8">
      <c r="A311">
        <f>IFERROR(__xludf.DUMMYFUNCTION("""COMPUTED_VALUE"""),"13. How many workers?")</f>
        <v>0</v>
      </c>
      <c r="B311">
        <f>IFERROR(8s</f>
        <v>0</v>
      </c>
      <c r="D311">
        <f>IFERROR(__xludf.DUMMYFUNCTION("""COMPUTED_VALUE"""),"13. How many workers?")</f>
        <v>0</v>
      </c>
      <c r="H311">
        <f>IFERROR(__xludf.DUMMYFUNCTION("""COMPUTED_VALUE"""),"integer")</f>
        <v>0</v>
      </c>
    </row>
    <row r="312" spans="1:8">
      <c r="A312">
        <f>IFERROR(__xludf.DUMMYFUNCTION("""COMPUTED_VALUE"""),"14. Availability of at the least 10 pairs of sterile gloves")</f>
        <v>0</v>
      </c>
      <c r="B312">
        <f>IFERROR(8q</f>
        <v>0</v>
      </c>
      <c r="D312">
        <f>IFERROR(__xludf.DUMMYFUNCTION("""COMPUTED_VALUE"""),"14. Availability of at the least 10 pairs of sterile gloves")</f>
        <v>0</v>
      </c>
      <c r="H312">
        <f>IFERROR(__xludf.DUMMYFUNCTION("""COMPUTED_VALUE"""),"select_one yes1_no0")</f>
        <v>0</v>
      </c>
    </row>
    <row r="313" spans="1:8">
      <c r="A313">
        <f>IFERROR(__xludf.DUMMYFUNCTION("""COMPUTED_VALUE"""),"15. Availability of at the least 2 sterilized obstetrical boxes")</f>
        <v>0</v>
      </c>
      <c r="B313">
        <f>IFERROR(5D</f>
        <v>0</v>
      </c>
      <c r="D313">
        <f>IFERROR(__xludf.DUMMYFUNCTION("""COMPUTED_VALUE"""),"15. Availability of at the least 2 sterilized obstetrical boxes")</f>
        <v>0</v>
      </c>
      <c r="H313">
        <f>IFERROR(__xludf.DUMMYFUNCTION("""COMPUTED_VALUE"""),"select_one yes3_no0")</f>
        <v>0</v>
      </c>
    </row>
    <row r="314" spans="1:8">
      <c r="A314">
        <f>IFERROR(__xludf.DUMMYFUNCTION("""COMPUTED_VALUE"""),"16. Availability of at the least one episiotomy box")</f>
        <v>0</v>
      </c>
      <c r="B314">
        <f>IFERROR(1D</f>
        <v>0</v>
      </c>
      <c r="D314">
        <f>IFERROR(__xludf.DUMMYFUNCTION("""COMPUTED_VALUE"""),"16. Availability of at the least one episiotomy box")</f>
        <v>0</v>
      </c>
      <c r="H314">
        <f>IFERROR(__xludf.DUMMYFUNCTION("""COMPUTED_VALUE"""),"select_one yes2_no0")</f>
        <v>0</v>
      </c>
    </row>
    <row r="315" spans="1:8">
      <c r="A315">
        <f>IFERROR(__xludf.DUMMYFUNCTION("""COMPUTED_VALUE"""),"17. Delivery table in good state")</f>
        <v>0</v>
      </c>
      <c r="B315">
        <f>IFERROR(1Z</f>
        <v>0</v>
      </c>
      <c r="D315">
        <f>IFERROR(__xludf.DUMMYFUNCTION("""COMPUTED_VALUE"""),"17. Delivery table in good state")</f>
        <v>0</v>
      </c>
      <c r="H315">
        <f>IFERROR(__xludf.DUMMYFUNCTION("""COMPUTED_VALUE"""),"select_one yes1_no0")</f>
        <v>0</v>
      </c>
    </row>
    <row r="316" spans="1:8">
      <c r="A316">
        <f>IFERROR(__xludf.DUMMYFUNCTION("""COMPUTED_VALUE"""),"18. Available equipment for care of the newborn")</f>
        <v>0</v>
      </c>
      <c r="B316">
        <f>IFERROR(2i</f>
        <v>0</v>
      </c>
      <c r="D316">
        <f>IFERROR(__xludf.DUMMYFUNCTION("""COMPUTED_VALUE"""),"18. Available equipment for care of the newborn")</f>
        <v>0</v>
      </c>
      <c r="H316">
        <f>IFERROR(__xludf.DUMMYFUNCTION("""COMPUTED_VALUE"""),"select_one yes1_no0")</f>
        <v>0</v>
      </c>
    </row>
    <row r="317" spans="1:8">
      <c r="A317">
        <f>IFERROR(__xludf.DUMMYFUNCTION("""COMPUTED_VALUE"""),"19. Adequate in-patient rooms")</f>
        <v>0</v>
      </c>
      <c r="B317">
        <f>IFERROR(9e</f>
        <v>0</v>
      </c>
      <c r="D317">
        <f>IFERROR(__xludf.DUMMYFUNCTION("""COMPUTED_VALUE"""),"19. Adequate in-patient rooms")</f>
        <v>0</v>
      </c>
      <c r="H317">
        <f>IFERROR(__xludf.DUMMYFUNCTION("""COMPUTED_VALUE"""),"select_one yes1_no0")</f>
        <v>0</v>
      </c>
    </row>
    <row r="318" spans="1:8">
      <c r="A318">
        <f>IFERROR(__xludf.DUMMYFUNCTION("""COMPUTED_VALUE"""),"10.1 key comments")</f>
        <v>0</v>
      </c>
      <c r="B318">
        <f>IFERROR(8h</f>
        <v>0</v>
      </c>
      <c r="D318">
        <f>IFERROR(__xludf.DUMMYFUNCTION("""COMPUTED_VALUE"""),"10.1 key comments")</f>
        <v>0</v>
      </c>
      <c r="H318">
        <f>IFERROR(__xludf.DUMMYFUNCTION("""COMPUTED_VALUE"""),"text")</f>
        <v>0</v>
      </c>
    </row>
    <row r="319" spans="1:8">
      <c r="A319">
        <f>IFERROR(__xludf.DUMMYFUNCTION("""COMPUTED_VALUE"""),"10.1 Action Plan")</f>
        <v>0</v>
      </c>
      <c r="B319">
        <f>IFERROR(2V</f>
        <v>0</v>
      </c>
      <c r="D319">
        <f>IFERROR(__xludf.DUMMYFUNCTION("""COMPUTED_VALUE"""),"10.1 Action Plan")</f>
        <v>0</v>
      </c>
      <c r="H319">
        <f>IFERROR(__xludf.DUMMYFUNCTION("""COMPUTED_VALUE"""),"text")</f>
        <v>0</v>
      </c>
    </row>
    <row r="320" spans="1:8">
      <c r="A320">
        <f>IFERROR(__xludf.DUMMYFUNCTION("""COMPUTED_VALUE"""),"")</f>
        <v>0</v>
      </c>
      <c r="B320">
        <f>IFERROR(1w</f>
        <v>0</v>
      </c>
      <c r="D320">
        <f>IFERROR(__xludf.DUMMYFUNCTION("""COMPUTED_VALUE"""),"")</f>
        <v>0</v>
      </c>
      <c r="H320">
        <f>IFERROR(__xludf.DUMMYFUNCTION("""COMPUTED_VALUE"""),"calculate")</f>
        <v>0</v>
      </c>
    </row>
    <row r="321" spans="1:8">
      <c r="A321">
        <f>IFERROR(__xludf.DUMMYFUNCTION("""COMPUTED_VALUE"""),"")</f>
        <v>0</v>
      </c>
      <c r="B321">
        <f>IFERROR02S</f>
        <v>0</v>
      </c>
      <c r="D321">
        <f>IFERROR(__xludf.DUMMYFUNCTION("""COMPUTED_VALUE"""),"")</f>
        <v>0</v>
      </c>
      <c r="H321">
        <f>IFERROR(__xludf.DUMMYFUNCTION("""COMPUTED_VALUE"""),"end_group")</f>
        <v>0</v>
      </c>
    </row>
    <row r="322" spans="1:8">
      <c r="A322">
        <f>IFERROR(__xludf.DUMMYFUNCTION("""COMPUTED_VALUE"""),"10.2 Antenatal Care ")</f>
        <v>0</v>
      </c>
      <c r="B322">
        <f>IFERROR(8Q</f>
        <v>0</v>
      </c>
      <c r="D322">
        <f>IFERROR(__xludf.DUMMYFUNCTION("""COMPUTED_VALUE"""),"10.2 Antenatal Care ")</f>
        <v>0</v>
      </c>
      <c r="H322">
        <f>IFERROR(__xludf.DUMMYFUNCTION("""COMPUTED_VALUE"""),"begin_group")</f>
        <v>0</v>
      </c>
    </row>
    <row r="323" spans="1:8">
      <c r="A323">
        <f>IFERROR(__xludf.DUMMYFUNCTION("""COMPUTED_VALUE"""),"20. Does the facility practise focused ANC?")</f>
        <v>0</v>
      </c>
      <c r="B323">
        <f>IFERROR(2S</f>
        <v>0</v>
      </c>
      <c r="D323">
        <f>IFERROR(__xludf.DUMMYFUNCTION("""COMPUTED_VALUE"""),"20. Does the facility practise focused ANC?")</f>
        <v>0</v>
      </c>
      <c r="H323">
        <f>IFERROR(__xludf.DUMMYFUNCTION("""COMPUTED_VALUE"""),"select_one yes1_no0")</f>
        <v>0</v>
      </c>
    </row>
    <row r="324" spans="1:8">
      <c r="A324">
        <f>IFERROR(__xludf.DUMMYFUNCTION("""COMPUTED_VALUE"""),"21. Weighing scale present, functional and calibrated to zero")</f>
        <v>0</v>
      </c>
      <c r="B324">
        <f>IFERROR(4f</f>
        <v>0</v>
      </c>
      <c r="D324">
        <f>IFERROR(__xludf.DUMMYFUNCTION("""COMPUTED_VALUE"""),"21. Weighing scale present, functional and calibrated to zero")</f>
        <v>0</v>
      </c>
      <c r="H324">
        <f>IFERROR(__xludf.DUMMYFUNCTION("""COMPUTED_VALUE"""),"select_one yes_no")</f>
        <v>0</v>
      </c>
    </row>
    <row r="325" spans="1:8">
      <c r="A325">
        <f>IFERROR(__xludf.DUMMYFUNCTION("""COMPUTED_VALUE"""),"22. ANC form for HF available and well filled in: last five forms verified")</f>
        <v>0</v>
      </c>
      <c r="B325">
        <f>IFERROR(5I</f>
        <v>0</v>
      </c>
      <c r="D325">
        <f>IFERROR(__xludf.DUMMYFUNCTION("""COMPUTED_VALUE"""),"22. ANC form for HF available and well filled in: last five forms verified")</f>
        <v>0</v>
      </c>
      <c r="H325">
        <f>IFERROR(__xludf.DUMMYFUNCTION("""COMPUTED_VALUE"""),"select_one yes2_no0")</f>
        <v>0</v>
      </c>
    </row>
    <row r="326" spans="1:8">
      <c r="A326">
        <f>IFERROR(__xludf.DUMMYFUNCTION("""COMPUTED_VALUE"""),"23. ANC form for HF shows the administration of Ferrous Sulphate/Folic Acid and Mebendazole")</f>
        <v>0</v>
      </c>
      <c r="B326">
        <f>IFERROR(0j</f>
        <v>0</v>
      </c>
      <c r="D326">
        <f>IFERROR(__xludf.DUMMYFUNCTION("""COMPUTED_VALUE"""),"23. ANC form for HF shows the administration of Ferrous Sulphate/Folic Acid and Mebendazole")</f>
        <v>0</v>
      </c>
      <c r="H326">
        <f>IFERROR(__xludf.DUMMYFUNCTION("""COMPUTED_VALUE"""),"select_one yes1_no0")</f>
        <v>0</v>
      </c>
    </row>
    <row r="327" spans="1:8">
      <c r="A327">
        <f>IFERROR(__xludf.DUMMYFUNCTION("""COMPUTED_VALUE"""),"24. ANC cards for mother available: at least 10 in stock")</f>
        <v>0</v>
      </c>
      <c r="B327">
        <f>IFERROR(3Q</f>
        <v>0</v>
      </c>
      <c r="D327">
        <f>IFERROR(__xludf.DUMMYFUNCTION("""COMPUTED_VALUE"""),"24. ANC cards for mother available: at least 10 in stock")</f>
        <v>0</v>
      </c>
      <c r="H327">
        <f>IFERROR(__xludf.DUMMYFUNCTION("""COMPUTED_VALUE"""),"select_one yes0p5_no0")</f>
        <v>0</v>
      </c>
    </row>
    <row r="328" spans="1:8">
      <c r="A328">
        <f>IFERROR(__xludf.DUMMYFUNCTION("""COMPUTED_VALUE"""),"25. ANC register available and well filled in")</f>
        <v>0</v>
      </c>
      <c r="B328">
        <f>IFERROR(2O</f>
        <v>0</v>
      </c>
      <c r="D328">
        <f>IFERROR(__xludf.DUMMYFUNCTION("""COMPUTED_VALUE"""),"25. ANC register available and well filled in")</f>
        <v>0</v>
      </c>
      <c r="H328">
        <f>IFERROR(__xludf.DUMMYFUNCTION("""COMPUTED_VALUE"""),"select_one yes1_no0")</f>
        <v>0</v>
      </c>
    </row>
    <row r="329" spans="1:8">
      <c r="A329">
        <f>IFERROR(__xludf.DUMMYFUNCTION("""COMPUTED_VALUE"""),"26. ANC conducted by qualified personnel")</f>
        <v>0</v>
      </c>
      <c r="B329">
        <f>IFERROR(0y</f>
        <v>0</v>
      </c>
      <c r="D329">
        <f>IFERROR(__xludf.DUMMYFUNCTION("""COMPUTED_VALUE"""),"26. ANC conducted by qualified personnel")</f>
        <v>0</v>
      </c>
      <c r="H329">
        <f>IFERROR(__xludf.DUMMYFUNCTION("""COMPUTED_VALUE"""),"select_one yes1_no0")</f>
        <v>0</v>
      </c>
    </row>
    <row r="330" spans="1:8">
      <c r="A330">
        <f>IFERROR(__xludf.DUMMYFUNCTION("""COMPUTED_VALUE"""),"27. Group IEC/BCC")</f>
        <v>0</v>
      </c>
      <c r="B330">
        <f>IFERROR(6e</f>
        <v>0</v>
      </c>
      <c r="D330">
        <f>IFERROR(__xludf.DUMMYFUNCTION("""COMPUTED_VALUE"""),"27. Group IEC/BCC")</f>
        <v>0</v>
      </c>
      <c r="H330">
        <f>IFERROR(__xludf.DUMMYFUNCTION("""COMPUTED_VALUE"""),"select_one yes0p5_no0")</f>
        <v>0</v>
      </c>
    </row>
    <row r="331" spans="1:8">
      <c r="A331">
        <f>IFERROR(__xludf.DUMMYFUNCTION("""COMPUTED_VALUE"""),"10.2 key comments")</f>
        <v>0</v>
      </c>
      <c r="B331">
        <f>IFERROR(8R</f>
        <v>0</v>
      </c>
      <c r="D331">
        <f>IFERROR(__xludf.DUMMYFUNCTION("""COMPUTED_VALUE"""),"10.2 key comments")</f>
        <v>0</v>
      </c>
      <c r="H331">
        <f>IFERROR(__xludf.DUMMYFUNCTION("""COMPUTED_VALUE"""),"text")</f>
        <v>0</v>
      </c>
    </row>
    <row r="332" spans="1:8">
      <c r="A332">
        <f>IFERROR(__xludf.DUMMYFUNCTION("""COMPUTED_VALUE"""),"10.2 Action Plan")</f>
        <v>0</v>
      </c>
      <c r="B332">
        <f>IFERROR(8J</f>
        <v>0</v>
      </c>
      <c r="D332">
        <f>IFERROR(__xludf.DUMMYFUNCTION("""COMPUTED_VALUE"""),"10.2 Action Plan")</f>
        <v>0</v>
      </c>
      <c r="H332">
        <f>IFERROR(__xludf.DUMMYFUNCTION("""COMPUTED_VALUE"""),"text")</f>
        <v>0</v>
      </c>
    </row>
    <row r="333" spans="1:8">
      <c r="A333">
        <f>IFERROR(__xludf.DUMMYFUNCTION("""COMPUTED_VALUE"""),"")</f>
        <v>0</v>
      </c>
      <c r="B333">
        <f>IFERROR(7V</f>
        <v>0</v>
      </c>
      <c r="D333">
        <f>IFERROR(__xludf.DUMMYFUNCTION("""COMPUTED_VALUE"""),"")</f>
        <v>0</v>
      </c>
      <c r="H333">
        <f>IFERROR(__xludf.DUMMYFUNCTION("""COMPUTED_VALUE"""),"calculate")</f>
        <v>0</v>
      </c>
    </row>
    <row r="334" spans="1:8">
      <c r="A334">
        <f>IFERROR(__xludf.DUMMYFUNCTION("""COMPUTED_VALUE"""),"")</f>
        <v>0</v>
      </c>
      <c r="B334">
        <f>IFERROR01b</f>
        <v>0</v>
      </c>
      <c r="D334">
        <f>IFERROR(__xludf.DUMMYFUNCTION("""COMPUTED_VALUE"""),"")</f>
        <v>0</v>
      </c>
      <c r="H334">
        <f>IFERROR(__xludf.DUMMYFUNCTION("""COMPUTED_VALUE"""),"end_group")</f>
        <v>0</v>
      </c>
    </row>
    <row r="335" spans="1:8">
      <c r="A335">
        <f>IFERROR(__xludf.DUMMYFUNCTION("""COMPUTED_VALUE"""),"10.3 FAMILY PLANNING")</f>
        <v>0</v>
      </c>
      <c r="B335">
        <f>IFERROR(2z</f>
        <v>0</v>
      </c>
      <c r="D335">
        <f>IFERROR(__xludf.DUMMYFUNCTION("""COMPUTED_VALUE"""),"10.3 FAMILY PLANNING")</f>
        <v>0</v>
      </c>
      <c r="H335">
        <f>IFERROR(__xludf.DUMMYFUNCTION("""COMPUTED_VALUE"""),"begin_group")</f>
        <v>0</v>
      </c>
    </row>
    <row r="336" spans="1:8">
      <c r="A336">
        <f>IFERROR(__xludf.DUMMYFUNCTION("""COMPUTED_VALUE"""),"28. At least one qualified staff trained in Family Planning (check certificate: original or photocopy certified by the HSMB)")</f>
        <v>0</v>
      </c>
      <c r="B336">
        <f>IFERROR(8S</f>
        <v>0</v>
      </c>
      <c r="D336">
        <f>IFERROR(__xludf.DUMMYFUNCTION("""COMPUTED_VALUE"""),"28. At least one qualified staff trained in Family Planning (check certificate: original or photocopy certified by the HSMB)")</f>
        <v>0</v>
      </c>
      <c r="H336">
        <f>IFERROR(__xludf.DUMMYFUNCTION("""COMPUTED_VALUE"""),"select_one yes1_no0")</f>
        <v>0</v>
      </c>
    </row>
    <row r="337" spans="1:8">
      <c r="A337">
        <f>IFERROR(__xludf.DUMMYFUNCTION("""COMPUTED_VALUE"""),"29. Confidentiality in consultation room assured")</f>
        <v>0</v>
      </c>
      <c r="B337">
        <f>IFERROR(7v</f>
        <v>0</v>
      </c>
      <c r="D337">
        <f>IFERROR(__xludf.DUMMYFUNCTION("""COMPUTED_VALUE"""),"29. Confidentiality in consultation room assured")</f>
        <v>0</v>
      </c>
      <c r="H337">
        <f>IFERROR(__xludf.DUMMYFUNCTION("""COMPUTED_VALUE"""),"select_one yes1_no0")</f>
        <v>0</v>
      </c>
    </row>
    <row r="338" spans="1:8">
      <c r="A338">
        <f>IFERROR(__xludf.DUMMYFUNCTION("""COMPUTED_VALUE"""),"30. Room with closed doors, curtains at windows or non transparent glass")</f>
        <v>0</v>
      </c>
      <c r="B338">
        <f>IFERROR(1Q</f>
        <v>0</v>
      </c>
      <c r="D338">
        <f>IFERROR(__xludf.DUMMYFUNCTION("""COMPUTED_VALUE"""),"30. Room with closed doors, curtains at windows or non transparent glass")</f>
        <v>0</v>
      </c>
      <c r="H338">
        <f>IFERROR(__xludf.DUMMYFUNCTION("""COMPUTED_VALUE"""),"select_one yes1_no0")</f>
        <v>0</v>
      </c>
    </row>
    <row r="339" spans="1:8">
      <c r="A339">
        <f>IFERROR(__xludf.DUMMYFUNCTION("""COMPUTED_VALUE"""),"31. Family planning methods available and visible in demonstration box for potential users")</f>
        <v>0</v>
      </c>
      <c r="B339">
        <f>IFERROR(5d</f>
        <v>0</v>
      </c>
      <c r="D339">
        <f>IFERROR(__xludf.DUMMYFUNCTION("""COMPUTED_VALUE"""),"31. Family planning methods available and visible in demonstration box for potential users")</f>
        <v>0</v>
      </c>
      <c r="H339">
        <f>IFERROR(__xludf.DUMMYFUNCTION("""COMPUTED_VALUE"""),"select_one yes1_no0")</f>
        <v>0</v>
      </c>
    </row>
    <row r="340" spans="1:8">
      <c r="A340">
        <f>IFERROR(__xludf.DUMMYFUNCTION("""COMPUTED_VALUE"""),"32. Condoms (male and female); OCP; Injectable; Implant; IUD are available in the demonstration box")</f>
        <v>0</v>
      </c>
      <c r="B340">
        <f>IFERROR(7M</f>
        <v>0</v>
      </c>
      <c r="D340">
        <f>IFERROR(__xludf.DUMMYFUNCTION("""COMPUTED_VALUE"""),"32. Condoms (male and female); OCP; Injectable; Implant; IUD are available in the demonstration box")</f>
        <v>0</v>
      </c>
      <c r="H340">
        <f>IFERROR(__xludf.DUMMYFUNCTION("""COMPUTED_VALUE"""),"select_one yes1_no0")</f>
        <v>0</v>
      </c>
    </row>
    <row r="341" spans="1:8">
      <c r="A341">
        <f>IFERROR(__xludf.DUMMYFUNCTION("""COMPUTED_VALUE"""),"33. Family Planning Models available: Penis: Vaginal; box with condoms available with at the least 50 condoms")</f>
        <v>0</v>
      </c>
      <c r="B341">
        <f>IFERROR(2H</f>
        <v>0</v>
      </c>
      <c r="D341">
        <f>IFERROR(__xludf.DUMMYFUNCTION("""COMPUTED_VALUE"""),"33. Family Planning Models available: Penis: Vaginal; box with condoms available with at the least 50 condoms")</f>
        <v>0</v>
      </c>
      <c r="H341">
        <f>IFERROR(__xludf.DUMMYFUNCTION("""COMPUTED_VALUE"""),"select_one yes1_no0")</f>
        <v>0</v>
      </c>
    </row>
    <row r="342" spans="1:8">
      <c r="A342">
        <f>IFERROR(__xludf.DUMMYFUNCTION("""COMPUTED_VALUE"""),"34. FP Counselling Materials available (pasted on wall and/or on desk) including information on: FP methods available, benefits and side effects, what to do if complications arise, follow up visit")</f>
        <v>0</v>
      </c>
      <c r="B342">
        <f>IFERROR(8z</f>
        <v>0</v>
      </c>
      <c r="D342">
        <f>IFERROR(__xludf.DUMMYFUNCTION("""COMPUTED_VALUE"""),"34. FP Counselling Materials available (pasted on wall and/or on desk) including information on: FP methods available, benefits and side effects, what to do if complications arise, follow up visit")</f>
        <v>0</v>
      </c>
      <c r="H342">
        <f>IFERROR(__xludf.DUMMYFUNCTION("""COMPUTED_VALUE"""),"select_one yes1_no0")</f>
        <v>0</v>
      </c>
    </row>
    <row r="343" spans="1:8">
      <c r="A343">
        <f>IFERROR(__xludf.DUMMYFUNCTION("""COMPUTED_VALUE"""),"35. Staff correctly calculates number of clients expected monthly for oral and injectable contraceptives")</f>
        <v>0</v>
      </c>
      <c r="B343">
        <f>IFERROR(2h</f>
        <v>0</v>
      </c>
      <c r="D343">
        <f>IFERROR(__xludf.DUMMYFUNCTION("""COMPUTED_VALUE"""),"35. Staff correctly calculates number of clients expected monthly for oral and injectable contraceptives")</f>
        <v>0</v>
      </c>
      <c r="H343">
        <f>IFERROR(__xludf.DUMMYFUNCTION("""COMPUTED_VALUE"""),"select_one yes1_no0")</f>
        <v>0</v>
      </c>
    </row>
    <row r="344" spans="1:8">
      <c r="A344">
        <f>IFERROR(__xludf.DUMMYFUNCTION("""COMPUTED_VALUE"""),"36. Staff correctly calculates number of clients expected monthly for implants and IUDs")</f>
        <v>0</v>
      </c>
      <c r="B344">
        <f>IFERROR(4i</f>
        <v>0</v>
      </c>
      <c r="D344">
        <f>IFERROR(__xludf.DUMMYFUNCTION("""COMPUTED_VALUE"""),"36. Staff correctly calculates number of clients expected monthly for implants and IUDs")</f>
        <v>0</v>
      </c>
      <c r="H344">
        <f>IFERROR(__xludf.DUMMYFUNCTION("""COMPUTED_VALUE"""),"select_one yes1_no0")</f>
        <v>0</v>
      </c>
    </row>
    <row r="345" spans="1:8">
      <c r="A345">
        <f>IFERROR(__xludf.DUMMYFUNCTION("""COMPUTED_VALUE"""),"")</f>
        <v>0</v>
      </c>
      <c r="B345">
        <f>IFERROR05l</f>
        <v>0</v>
      </c>
      <c r="D345">
        <f>IFERROR(__xludf.DUMMYFUNCTION("""COMPUTED_VALUE"""),"")</f>
        <v>0</v>
      </c>
      <c r="H345">
        <f>IFERROR(__xludf.DUMMYFUNCTION("""COMPUTED_VALUE"""),"calculate")</f>
        <v>0</v>
      </c>
    </row>
    <row r="346" spans="1:8">
      <c r="A346">
        <f>IFERROR(__xludf.DUMMYFUNCTION("""COMPUTED_VALUE"""),"")</f>
        <v>0</v>
      </c>
      <c r="B346">
        <f>IFERROR(5s</f>
        <v>0</v>
      </c>
      <c r="D346">
        <f>IFERROR(__xludf.DUMMYFUNCTION("""COMPUTED_VALUE"""),"")</f>
        <v>0</v>
      </c>
      <c r="H346">
        <f>IFERROR(__xludf.DUMMYFUNCTION("""COMPUTED_VALUE"""),"end_group")</f>
        <v>0</v>
      </c>
    </row>
    <row r="347" spans="1:8">
      <c r="A347">
        <f>IFERROR(__xludf.DUMMYFUNCTION("""COMPUTED_VALUE"""),"10.4 IEC/BCC")</f>
        <v>0</v>
      </c>
      <c r="B347">
        <f>IFERROR(4f</f>
        <v>0</v>
      </c>
      <c r="D347">
        <f>IFERROR(__xludf.DUMMYFUNCTION("""COMPUTED_VALUE"""),"10.4 IEC/BCC")</f>
        <v>0</v>
      </c>
      <c r="H347">
        <f>IFERROR(__xludf.DUMMYFUNCTION("""COMPUTED_VALUE"""),"begin_group")</f>
        <v>0</v>
      </c>
    </row>
    <row r="348" spans="1:8">
      <c r="A348">
        <f>IFERROR(__xludf.DUMMYFUNCTION("""COMPUTED_VALUE"""),"37. Group meeting held before FP consultation (check the schedule of health education sessions)")</f>
        <v>0</v>
      </c>
      <c r="B348">
        <f>IFERROR(1M</f>
        <v>0</v>
      </c>
      <c r="D348">
        <f>IFERROR(__xludf.DUMMYFUNCTION("""COMPUTED_VALUE"""),"37. Group meeting held before FP consultation (check the schedule of health education sessions)")</f>
        <v>0</v>
      </c>
      <c r="H348">
        <f>IFERROR(__xludf.DUMMYFUNCTION("""COMPUTED_VALUE"""),"select_one yes1_no0")</f>
        <v>0</v>
      </c>
    </row>
    <row r="349" spans="1:8">
      <c r="A349">
        <f>IFERROR(__xludf.DUMMYFUNCTION("""COMPUTED_VALUE"""),"38. Existence of updated IEC report with (a) topic, (b) number of participants, (c) leader of activity and (d) date and (e) signature")</f>
        <v>0</v>
      </c>
      <c r="B349">
        <f>IFERROR(1o</f>
        <v>0</v>
      </c>
      <c r="D349">
        <f>IFERROR(__xludf.DUMMYFUNCTION("""COMPUTED_VALUE"""),"38. Existence of updated IEC report with (a) topic, (b) number of participants, (c) leader of activity and (d) date and (e) signature")</f>
        <v>0</v>
      </c>
      <c r="H349">
        <f>IFERROR(__xludf.DUMMYFUNCTION("""COMPUTED_VALUE"""),"select_one yes1_no0")</f>
        <v>0</v>
      </c>
    </row>
    <row r="350" spans="1:8">
      <c r="A350">
        <f>IFERROR(__xludf.DUMMYFUNCTION("""COMPUTED_VALUE"""),"39. Are there job aids, posters, leaflets  available for use (sight)")</f>
        <v>0</v>
      </c>
      <c r="B350">
        <f>IFERROR(9k</f>
        <v>0</v>
      </c>
      <c r="D350">
        <f>IFERROR(__xludf.DUMMYFUNCTION("""COMPUTED_VALUE"""),"39. Are there job aids, posters, leaflets  available for use (sight)")</f>
        <v>0</v>
      </c>
      <c r="H350">
        <f>IFERROR(__xludf.DUMMYFUNCTION("""COMPUTED_VALUE"""),"select_one yes1_no0")</f>
        <v>0</v>
      </c>
    </row>
    <row r="351" spans="1:8">
      <c r="A351">
        <f>IFERROR(__xludf.DUMMYFUNCTION("""COMPUTED_VALUE"""),"10.4 Key comments")</f>
        <v>0</v>
      </c>
      <c r="B351">
        <f>IFERROR(6n</f>
        <v>0</v>
      </c>
      <c r="D351">
        <f>IFERROR(__xludf.DUMMYFUNCTION("""COMPUTED_VALUE"""),"10.4 Key comments")</f>
        <v>0</v>
      </c>
      <c r="H351">
        <f>IFERROR(__xludf.DUMMYFUNCTION("""COMPUTED_VALUE"""),"text")</f>
        <v>0</v>
      </c>
    </row>
    <row r="352" spans="1:8">
      <c r="A352">
        <f>IFERROR(__xludf.DUMMYFUNCTION("""COMPUTED_VALUE"""),"10.4 Action Plan")</f>
        <v>0</v>
      </c>
      <c r="B352">
        <f>IFERROR(8B</f>
        <v>0</v>
      </c>
      <c r="D352">
        <f>IFERROR(__xludf.DUMMYFUNCTION("""COMPUTED_VALUE"""),"10.4 Action Plan")</f>
        <v>0</v>
      </c>
      <c r="H352">
        <f>IFERROR(__xludf.DUMMYFUNCTION("""COMPUTED_VALUE"""),"text")</f>
        <v>0</v>
      </c>
    </row>
    <row r="353" spans="1:8">
      <c r="A353">
        <f>IFERROR(__xludf.DUMMYFUNCTION("""COMPUTED_VALUE"""),"")</f>
        <v>0</v>
      </c>
      <c r="B353">
        <f>IFERROR(6K</f>
        <v>0</v>
      </c>
      <c r="D353">
        <f>IFERROR(__xludf.DUMMYFUNCTION("""COMPUTED_VALUE"""),"")</f>
        <v>0</v>
      </c>
      <c r="H353">
        <f>IFERROR(__xludf.DUMMYFUNCTION("""COMPUTED_VALUE"""),"calculate")</f>
        <v>0</v>
      </c>
    </row>
    <row r="354" spans="1:8">
      <c r="A354">
        <f>IFERROR(__xludf.DUMMYFUNCTION("""COMPUTED_VALUE"""),"")</f>
        <v>0</v>
      </c>
      <c r="B354">
        <f>IFERROR04e</f>
        <v>0</v>
      </c>
      <c r="D354">
        <f>IFERROR(__xludf.DUMMYFUNCTION("""COMPUTED_VALUE"""),"")</f>
        <v>0</v>
      </c>
      <c r="H354">
        <f>IFERROR(__xludf.DUMMYFUNCTION("""COMPUTED_VALUE"""),"end_group")</f>
        <v>0</v>
      </c>
    </row>
    <row r="355" spans="1:8">
      <c r="A355">
        <f>IFERROR(__xludf.DUMMYFUNCTION("""COMPUTED_VALUE"""),"")</f>
        <v>0</v>
      </c>
      <c r="B355">
        <f>IFERROR08M</f>
        <v>0</v>
      </c>
      <c r="D355">
        <f>IFERROR(__xludf.DUMMYFUNCTION("""COMPUTED_VALUE"""),"")</f>
        <v>0</v>
      </c>
      <c r="H355">
        <f>IFERROR(__xludf.DUMMYFUNCTION("""COMPUTED_VALUE"""),"end_group")</f>
        <v>0</v>
      </c>
    </row>
    <row r="356" spans="1:8">
      <c r="A356">
        <f>IFERROR(__xludf.DUMMYFUNCTION("""COMPUTED_VALUE"""),"Section 11 HIV/TB ")</f>
        <v>0</v>
      </c>
      <c r="B356">
        <f>IFERROR(7r</f>
        <v>0</v>
      </c>
      <c r="D356">
        <f>IFERROR(__xludf.DUMMYFUNCTION("""COMPUTED_VALUE"""),"Section 11 HIV/TB ")</f>
        <v>0</v>
      </c>
      <c r="H356">
        <f>IFERROR(__xludf.DUMMYFUNCTION("""COMPUTED_VALUE"""),"begin_group")</f>
        <v>0</v>
      </c>
    </row>
    <row r="357" spans="1:8">
      <c r="A357">
        <f>IFERROR(__xludf.DUMMYFUNCTION("""COMPUTED_VALUE"""),"1. Well-equipped HIV counselling room ensuring privacy:")</f>
        <v>0</v>
      </c>
      <c r="B357">
        <f>IFERROR(2u</f>
        <v>0</v>
      </c>
      <c r="D357">
        <f>IFERROR(__xludf.DUMMYFUNCTION("""COMPUTED_VALUE"""),"1. Well-equipped HIV counselling room ensuring privacy:")</f>
        <v>0</v>
      </c>
      <c r="H357">
        <f>IFERROR(__xludf.DUMMYFUNCTION("""COMPUTED_VALUE"""),"select_one yes1_no0")</f>
        <v>0</v>
      </c>
    </row>
    <row r="358" spans="1:8">
      <c r="A358">
        <f>IFERROR(__xludf.DUMMYFUNCTION("""COMPUTED_VALUE"""),"2. Availability of IEC/BCC materials related to HIV treatment and prevention")</f>
        <v>0</v>
      </c>
      <c r="B358">
        <f>IFERROR(2I</f>
        <v>0</v>
      </c>
      <c r="D358">
        <f>IFERROR(__xludf.DUMMYFUNCTION("""COMPUTED_VALUE"""),"2. Availability of IEC/BCC materials related to HIV treatment and prevention")</f>
        <v>0</v>
      </c>
      <c r="H358">
        <f>IFERROR(__xludf.DUMMYFUNCTION("""COMPUTED_VALUE"""),"select_one yes1_no0")</f>
        <v>0</v>
      </c>
    </row>
    <row r="359" spans="1:8">
      <c r="A359">
        <f>IFERROR(__xludf.DUMMYFUNCTION("""COMPUTED_VALUE"""),"3. Existence of a HTS/PMTCT counselling register and lab register acc norms")</f>
        <v>0</v>
      </c>
      <c r="B359">
        <f>IFERROR(7B</f>
        <v>0</v>
      </c>
      <c r="D359">
        <f>IFERROR(__xludf.DUMMYFUNCTION("""COMPUTED_VALUE"""),"3. Existence of a HTS/PMTCT counselling register and lab register acc norms")</f>
        <v>0</v>
      </c>
      <c r="H359">
        <f>IFERROR(__xludf.DUMMYFUNCTION("""COMPUTED_VALUE"""),"select_one yes1_no0")</f>
        <v>0</v>
      </c>
    </row>
    <row r="360" spans="1:8">
      <c r="A360">
        <f>IFERROR(__xludf.DUMMYFUNCTION("""COMPUTED_VALUE"""),"4. At the least one staff trained as a counsellor (trained in the past two years)")</f>
        <v>0</v>
      </c>
      <c r="B360">
        <f>IFERROR(0h</f>
        <v>0</v>
      </c>
      <c r="D360">
        <f>IFERROR(__xludf.DUMMYFUNCTION("""COMPUTED_VALUE"""),"4. At the least one staff trained as a counsellor (trained in the past two years)")</f>
        <v>0</v>
      </c>
      <c r="H360">
        <f>IFERROR(__xludf.DUMMYFUNCTION("""COMPUTED_VALUE"""),"select_one yes1_no0")</f>
        <v>0</v>
      </c>
    </row>
    <row r="361" spans="1:8">
      <c r="A361">
        <f>IFERROR(__xludf.DUMMYFUNCTION("""COMPUTED_VALUE"""),"5. Is HTS SERVICES available at the HF?")</f>
        <v>0</v>
      </c>
      <c r="B361">
        <f>IFERROR(6W</f>
        <v>0</v>
      </c>
      <c r="D361">
        <f>IFERROR(__xludf.DUMMYFUNCTION("""COMPUTED_VALUE"""),"5. Is HTS SERVICES available at the HF?")</f>
        <v>0</v>
      </c>
      <c r="H361">
        <f>IFERROR(__xludf.DUMMYFUNCTION("""COMPUTED_VALUE"""),"select_one yes_no")</f>
        <v>0</v>
      </c>
    </row>
    <row r="362" spans="1:8">
      <c r="A362">
        <f>IFERROR(__xludf.DUMMYFUNCTION("""COMPUTED_VALUE"""),"6. How many staff provide HTS services?")</f>
        <v>0</v>
      </c>
      <c r="B362">
        <f>IFERROR(6U</f>
        <v>0</v>
      </c>
      <c r="D362">
        <f>IFERROR(__xludf.DUMMYFUNCTION("""COMPUTED_VALUE"""),"6. How many staff provide HTS services?")</f>
        <v>0</v>
      </c>
      <c r="H362">
        <f>IFERROR(__xludf.DUMMYFUNCTION("""COMPUTED_VALUE"""),"integer")</f>
        <v>0</v>
      </c>
    </row>
    <row r="363" spans="1:8">
      <c r="A363">
        <f>IFERROR(__xludf.DUMMYFUNCTION("""COMPUTED_VALUE"""),"7. How many have been trained/ retrained in the past 2 years?")</f>
        <v>0</v>
      </c>
      <c r="B363">
        <f>IFERROR(5s</f>
        <v>0</v>
      </c>
      <c r="D363">
        <f>IFERROR(__xludf.DUMMYFUNCTION("""COMPUTED_VALUE"""),"7. How many have been trained/ retrained in the past 2 years?")</f>
        <v>0</v>
      </c>
      <c r="H363">
        <f>IFERROR(__xludf.DUMMYFUNCTION("""COMPUTED_VALUE"""),"integer")</f>
        <v>0</v>
      </c>
    </row>
    <row r="364" spans="1:8">
      <c r="A364">
        <f>IFERROR(__xludf.DUMMYFUNCTION("""COMPUTED_VALUE"""),"8. How many are actively providing HTS services?")</f>
        <v>0</v>
      </c>
      <c r="B364">
        <f>IFERROR(9P</f>
        <v>0</v>
      </c>
      <c r="D364">
        <f>IFERROR(__xludf.DUMMYFUNCTION("""COMPUTED_VALUE"""),"8. How many are actively providing HTS services?")</f>
        <v>0</v>
      </c>
      <c r="H364">
        <f>IFERROR(__xludf.DUMMYFUNCTION("""COMPUTED_VALUE"""),"integer")</f>
        <v>0</v>
      </c>
    </row>
    <row r="365" spans="1:8">
      <c r="A365">
        <f>IFERROR(__xludf.DUMMYFUNCTION("""COMPUTED_VALUE"""),"9. Is counselling room conducive for confidentiality during pre&amp; post test counselling?")</f>
        <v>0</v>
      </c>
      <c r="B365">
        <f>IFERROR(5e</f>
        <v>0</v>
      </c>
      <c r="D365">
        <f>IFERROR(__xludf.DUMMYFUNCTION("""COMPUTED_VALUE"""),"9. Is counselling room conducive for confidentiality during pre&amp; post test counselling?")</f>
        <v>0</v>
      </c>
      <c r="H365">
        <f>IFERROR(__xludf.DUMMYFUNCTION("""COMPUTED_VALUE"""),"select_one yes_no")</f>
        <v>0</v>
      </c>
    </row>
    <row r="366" spans="1:8">
      <c r="A366">
        <f>IFERROR(__xludf.DUMMYFUNCTION("""COMPUTED_VALUE"""),"10. Are National data collection tools available and consistently in use at the facility")</f>
        <v>0</v>
      </c>
      <c r="B366">
        <f>IFERROR(0F</f>
        <v>0</v>
      </c>
      <c r="D366">
        <f>IFERROR(__xludf.DUMMYFUNCTION("""COMPUTED_VALUE"""),"10. Are National data collection tools available and consistently in use at the facility")</f>
        <v>0</v>
      </c>
      <c r="H366">
        <f>IFERROR(__xludf.DUMMYFUNCTION("""COMPUTED_VALUE"""),"select_one yes_no")</f>
        <v>0</v>
      </c>
    </row>
    <row r="367" spans="1:8">
      <c r="A367">
        <f>IFERROR(__xludf.DUMMYFUNCTION("""COMPUTED_VALUE"""),"11. Is PMTCT service available at the HF?")</f>
        <v>0</v>
      </c>
      <c r="B367">
        <f>IFERROR(2h</f>
        <v>0</v>
      </c>
      <c r="D367">
        <f>IFERROR(__xludf.DUMMYFUNCTION("""COMPUTED_VALUE"""),"11. Is PMTCT service available at the HF?")</f>
        <v>0</v>
      </c>
      <c r="H367">
        <f>IFERROR(__xludf.DUMMYFUNCTION("""COMPUTED_VALUE"""),"select_one yes_no")</f>
        <v>0</v>
      </c>
    </row>
    <row r="368" spans="1:8">
      <c r="A368">
        <f>IFERROR(__xludf.DUMMYFUNCTION("""COMPUTED_VALUE"""),"12. How many staff provides PMTCT services?")</f>
        <v>0</v>
      </c>
      <c r="B368">
        <f>IFERROR(8H</f>
        <v>0</v>
      </c>
      <c r="D368">
        <f>IFERROR(__xludf.DUMMYFUNCTION("""COMPUTED_VALUE"""),"12. How many staff provides PMTCT services?")</f>
        <v>0</v>
      </c>
      <c r="H368">
        <f>IFERROR(__xludf.DUMMYFUNCTION("""COMPUTED_VALUE"""),"integer")</f>
        <v>0</v>
      </c>
    </row>
    <row r="369" spans="1:8">
      <c r="A369">
        <f>IFERROR(__xludf.DUMMYFUNCTION("""COMPUTED_VALUE"""),"13. How many have been trained/ retrained in the past 2 years?")</f>
        <v>0</v>
      </c>
      <c r="B369">
        <f>IFERROR(2r</f>
        <v>0</v>
      </c>
      <c r="D369">
        <f>IFERROR(__xludf.DUMMYFUNCTION("""COMPUTED_VALUE"""),"13. How many have been trained/ retrained in the past 2 years?")</f>
        <v>0</v>
      </c>
      <c r="H369">
        <f>IFERROR(__xludf.DUMMYFUNCTION("""COMPUTED_VALUE"""),"integer")</f>
        <v>0</v>
      </c>
    </row>
    <row r="370" spans="1:8">
      <c r="A370">
        <f>IFERROR(__xludf.DUMMYFUNCTION("""COMPUTED_VALUE"""),"14. How many are actively providing PMTCT services?")</f>
        <v>0</v>
      </c>
      <c r="B370">
        <f>IFERROR(7u</f>
        <v>0</v>
      </c>
      <c r="D370">
        <f>IFERROR(__xludf.DUMMYFUNCTION("""COMPUTED_VALUE"""),"14. How many are actively providing PMTCT services?")</f>
        <v>0</v>
      </c>
      <c r="H370">
        <f>IFERROR(__xludf.DUMMYFUNCTION("""COMPUTED_VALUE"""),"integer")</f>
        <v>0</v>
      </c>
    </row>
    <row r="371" spans="1:8">
      <c r="A371">
        <f>IFERROR(__xludf.DUMMYFUNCTION("""COMPUTED_VALUE"""),"15. Is Early Infant Diagnosis available")</f>
        <v>0</v>
      </c>
      <c r="B371">
        <f>IFERROR(3F</f>
        <v>0</v>
      </c>
      <c r="D371">
        <f>IFERROR(__xludf.DUMMYFUNCTION("""COMPUTED_VALUE"""),"15. Is Early Infant Diagnosis available")</f>
        <v>0</v>
      </c>
      <c r="H371">
        <f>IFERROR(__xludf.DUMMYFUNCTION("""COMPUTED_VALUE"""),"select_one yes_no")</f>
        <v>0</v>
      </c>
    </row>
    <row r="372" spans="1:8">
      <c r="A372">
        <f>IFERROR(__xludf.DUMMYFUNCTION("""COMPUTED_VALUE"""),"16. Is Infant feeding counselling available")</f>
        <v>0</v>
      </c>
      <c r="B372">
        <f>IFERROR(9m</f>
        <v>0</v>
      </c>
      <c r="D372">
        <f>IFERROR(__xludf.DUMMYFUNCTION("""COMPUTED_VALUE"""),"16. Is Infant feeding counselling available")</f>
        <v>0</v>
      </c>
      <c r="H372">
        <f>IFERROR(__xludf.DUMMYFUNCTION("""COMPUTED_VALUE"""),"select_one yes_no")</f>
        <v>0</v>
      </c>
    </row>
    <row r="373" spans="1:8">
      <c r="A373">
        <f>IFERROR(__xludf.DUMMYFUNCTION("""COMPUTED_VALUE"""),"17. Are there trained Mentor mothers?")</f>
        <v>0</v>
      </c>
      <c r="B373">
        <f>IFERROR(5f</f>
        <v>0</v>
      </c>
      <c r="D373">
        <f>IFERROR(__xludf.DUMMYFUNCTION("""COMPUTED_VALUE"""),"17. Are there trained Mentor mothers?")</f>
        <v>0</v>
      </c>
      <c r="H373">
        <f>IFERROR(__xludf.DUMMYFUNCTION("""COMPUTED_VALUE"""),"select_one yes_no")</f>
        <v>0</v>
      </c>
    </row>
    <row r="374" spans="1:8">
      <c r="A374">
        <f>IFERROR(__xludf.DUMMYFUNCTION("""COMPUTED_VALUE"""),"18. How many active mentor mothers are active?")</f>
        <v>0</v>
      </c>
      <c r="B374">
        <f>IFERROR(4b</f>
        <v>0</v>
      </c>
      <c r="D374">
        <f>IFERROR(__xludf.DUMMYFUNCTION("""COMPUTED_VALUE"""),"18. How many active mentor mothers are active?")</f>
        <v>0</v>
      </c>
      <c r="H374">
        <f>IFERROR(__xludf.DUMMYFUNCTION("""COMPUTED_VALUE"""),"integer")</f>
        <v>0</v>
      </c>
    </row>
    <row r="375" spans="1:8">
      <c r="A375">
        <f>IFERROR(__xludf.DUMMYFUNCTION("""COMPUTED_VALUE"""),"19. Is ART services available at the HF?")</f>
        <v>0</v>
      </c>
      <c r="B375">
        <f>IFERROR(9l</f>
        <v>0</v>
      </c>
      <c r="D375">
        <f>IFERROR(__xludf.DUMMYFUNCTION("""COMPUTED_VALUE"""),"19. Is ART services available at the HF?")</f>
        <v>0</v>
      </c>
      <c r="H375">
        <f>IFERROR(__xludf.DUMMYFUNCTION("""COMPUTED_VALUE"""),"select_one yes_no")</f>
        <v>0</v>
      </c>
    </row>
    <row r="376" spans="1:8">
      <c r="A376">
        <f>IFERROR(__xludf.DUMMYFUNCTION("""COMPUTED_VALUE"""),"20. How many staff provides ART services?")</f>
        <v>0</v>
      </c>
      <c r="B376">
        <f>IFERROR(0x</f>
        <v>0</v>
      </c>
      <c r="D376">
        <f>IFERROR(__xludf.DUMMYFUNCTION("""COMPUTED_VALUE"""),"20. How many staff provides ART services?")</f>
        <v>0</v>
      </c>
      <c r="H376">
        <f>IFERROR(__xludf.DUMMYFUNCTION("""COMPUTED_VALUE"""),"integer")</f>
        <v>0</v>
      </c>
    </row>
    <row r="377" spans="1:8">
      <c r="A377">
        <f>IFERROR(__xludf.DUMMYFUNCTION("""COMPUTED_VALUE"""),"21. How many have been trained/ retrained in the past 2 years?")</f>
        <v>0</v>
      </c>
      <c r="B377">
        <f>IFERROR(2M</f>
        <v>0</v>
      </c>
      <c r="D377">
        <f>IFERROR(__xludf.DUMMYFUNCTION("""COMPUTED_VALUE"""),"21. How many have been trained/ retrained in the past 2 years?")</f>
        <v>0</v>
      </c>
      <c r="H377">
        <f>IFERROR(__xludf.DUMMYFUNCTION("""COMPUTED_VALUE"""),"integer")</f>
        <v>0</v>
      </c>
    </row>
    <row r="378" spans="1:8">
      <c r="A378">
        <f>IFERROR(__xludf.DUMMYFUNCTION("""COMPUTED_VALUE"""),"22. How many are actively providing ART services?")</f>
        <v>0</v>
      </c>
      <c r="B378">
        <f>IFERROR(9p</f>
        <v>0</v>
      </c>
      <c r="D378">
        <f>IFERROR(__xludf.DUMMYFUNCTION("""COMPUTED_VALUE"""),"22. How many are actively providing ART services?")</f>
        <v>0</v>
      </c>
      <c r="H378">
        <f>IFERROR(__xludf.DUMMYFUNCTION("""COMPUTED_VALUE"""),"integer")</f>
        <v>0</v>
      </c>
    </row>
    <row r="379" spans="1:8">
      <c r="A379">
        <f>IFERROR(__xludf.DUMMYFUNCTION("""COMPUTED_VALUE"""),"23. Is there any HCT/PMTCT/ART National guideline? (Please sight)")</f>
        <v>0</v>
      </c>
      <c r="B379">
        <f>IFERROR(9a</f>
        <v>0</v>
      </c>
      <c r="D379">
        <f>IFERROR(__xludf.DUMMYFUNCTION("""COMPUTED_VALUE"""),"23. Is there any HCT/PMTCT/ART National guideline? (Please sight)")</f>
        <v>0</v>
      </c>
      <c r="H379">
        <f>IFERROR(__xludf.DUMMYFUNCTION("""COMPUTED_VALUE"""),"select_one yes_no")</f>
        <v>0</v>
      </c>
    </row>
    <row r="380" spans="1:8">
      <c r="A380">
        <f>IFERROR(__xludf.DUMMYFUNCTION("""COMPUTED_VALUE"""),"24. Are flowcharts visible on the wall")</f>
        <v>0</v>
      </c>
      <c r="B380">
        <f>IFERROR(5z</f>
        <v>0</v>
      </c>
      <c r="D380">
        <f>IFERROR(__xludf.DUMMYFUNCTION("""COMPUTED_VALUE"""),"24. Are flowcharts visible on the wall")</f>
        <v>0</v>
      </c>
      <c r="H380">
        <f>IFERROR(__xludf.DUMMYFUNCTION("""COMPUTED_VALUE"""),"select_one yes_no")</f>
        <v>0</v>
      </c>
    </row>
    <row r="381" spans="1:8">
      <c r="A381">
        <f>IFERROR(__xludf.DUMMYFUNCTION("""COMPUTED_VALUE"""),"25. Is STI SYNDROMIC MANAGEMENT PROVIDED AT THE HF?")</f>
        <v>0</v>
      </c>
      <c r="B381">
        <f>IFERROR(8Q</f>
        <v>0</v>
      </c>
      <c r="D381">
        <f>IFERROR(__xludf.DUMMYFUNCTION("""COMPUTED_VALUE"""),"25. Is STI SYNDROMIC MANAGEMENT PROVIDED AT THE HF?")</f>
        <v>0</v>
      </c>
      <c r="H381">
        <f>IFERROR(__xludf.DUMMYFUNCTION("""COMPUTED_VALUE"""),"select_one yes_no")</f>
        <v>0</v>
      </c>
    </row>
    <row r="382" spans="1:8">
      <c r="A382">
        <f>IFERROR(__xludf.DUMMYFUNCTION("""COMPUTED_VALUE"""),"26. Number of Service providers providing STI syndromic management services")</f>
        <v>0</v>
      </c>
      <c r="B382">
        <f>IFERROR(1Q</f>
        <v>0</v>
      </c>
      <c r="D382">
        <f>IFERROR(__xludf.DUMMYFUNCTION("""COMPUTED_VALUE"""),"26. Number of Service providers providing STI syndromic management services")</f>
        <v>0</v>
      </c>
      <c r="H382">
        <f>IFERROR(__xludf.DUMMYFUNCTION("""COMPUTED_VALUE"""),"integer")</f>
        <v>0</v>
      </c>
    </row>
    <row r="383" spans="1:8">
      <c r="A383">
        <f>IFERROR(__xludf.DUMMYFUNCTION("""COMPUTED_VALUE"""),"27. How many have been trained/ retrained in the past 2 years?")</f>
        <v>0</v>
      </c>
      <c r="B383">
        <f>IFERROR(7V</f>
        <v>0</v>
      </c>
      <c r="D383">
        <f>IFERROR(__xludf.DUMMYFUNCTION("""COMPUTED_VALUE"""),"27. How many have been trained/ retrained in the past 2 years?")</f>
        <v>0</v>
      </c>
      <c r="H383">
        <f>IFERROR(__xludf.DUMMYFUNCTION("""COMPUTED_VALUE"""),"integer")</f>
        <v>0</v>
      </c>
    </row>
    <row r="384" spans="1:8">
      <c r="A384">
        <f>IFERROR(__xludf.DUMMYFUNCTION("""COMPUTED_VALUE"""),"28. Is there any STI mangement guideline? (Please sight)")</f>
        <v>0</v>
      </c>
      <c r="B384">
        <f>IFERROR(5T</f>
        <v>0</v>
      </c>
      <c r="D384">
        <f>IFERROR(__xludf.DUMMYFUNCTION("""COMPUTED_VALUE"""),"28. Is there any STI mangement guideline? (Please sight)")</f>
        <v>0</v>
      </c>
      <c r="H384">
        <f>IFERROR(__xludf.DUMMYFUNCTION("""COMPUTED_VALUE"""),"select_one yes_no")</f>
        <v>0</v>
      </c>
    </row>
    <row r="385" spans="1:8">
      <c r="A385">
        <f>IFERROR(__xludf.DUMMYFUNCTION("""COMPUTED_VALUE"""),"29. At the least one staff trained as a counsellor (trained in the past two years)")</f>
        <v>0</v>
      </c>
      <c r="B385">
        <f>IFERROR(3w</f>
        <v>0</v>
      </c>
      <c r="D385">
        <f>IFERROR(__xludf.DUMMYFUNCTION("""COMPUTED_VALUE"""),"29. At the least one staff trained as a counsellor (trained in the past two years)")</f>
        <v>0</v>
      </c>
      <c r="H385">
        <f>IFERROR(__xludf.DUMMYFUNCTION("""COMPUTED_VALUE"""),"select_one yes_no")</f>
        <v>0</v>
      </c>
    </row>
    <row r="386" spans="1:8">
      <c r="A386">
        <f>IFERROR(__xludf.DUMMYFUNCTION("""COMPUTED_VALUE"""),"30. All counselling done by a trained counsellor (trained in the past two years) (Check certificate: original or photocopy certified by the HSMB)")</f>
        <v>0</v>
      </c>
      <c r="B386">
        <f>IFERROR(5f</f>
        <v>0</v>
      </c>
      <c r="D386">
        <f>IFERROR(__xludf.DUMMYFUNCTION("""COMPUTED_VALUE"""),"30. All counselling done by a trained counsellor (trained in the past two years) (Check certificate: original or photocopy certified by the HSMB)")</f>
        <v>0</v>
      </c>
      <c r="H386">
        <f>IFERROR(__xludf.DUMMYFUNCTION("""COMPUTED_VALUE"""),"select_one yes_no")</f>
        <v>0</v>
      </c>
    </row>
    <row r="387" spans="1:8">
      <c r="A387">
        <f>IFERROR(__xludf.DUMMYFUNCTION("""COMPUTED_VALUE"""),"31. Job Aids for HTS: Flow charts, protocols, guidelines")</f>
        <v>0</v>
      </c>
      <c r="B387">
        <f>IFERROR(9l</f>
        <v>0</v>
      </c>
      <c r="D387">
        <f>IFERROR(__xludf.DUMMYFUNCTION("""COMPUTED_VALUE"""),"31. Job Aids for HTS: Flow charts, protocols, guidelines")</f>
        <v>0</v>
      </c>
      <c r="H387">
        <f>IFERROR(__xludf.DUMMYFUNCTION("""COMPUTED_VALUE"""),"select_one yes_no")</f>
        <v>0</v>
      </c>
    </row>
    <row r="388" spans="1:8">
      <c r="A388">
        <f>IFERROR(__xludf.DUMMYFUNCTION("""COMPUTED_VALUE"""),"32. Referral system and follow up for HIV positive clients")</f>
        <v>0</v>
      </c>
      <c r="B388">
        <f>IFERROR(7b</f>
        <v>0</v>
      </c>
      <c r="D388">
        <f>IFERROR(__xludf.DUMMYFUNCTION("""COMPUTED_VALUE"""),"32. Referral system and follow up for HIV positive clients")</f>
        <v>0</v>
      </c>
      <c r="H388">
        <f>IFERROR(__xludf.DUMMYFUNCTION("""COMPUTED_VALUE"""),"select_one yes_no")</f>
        <v>0</v>
      </c>
    </row>
    <row r="389" spans="1:8">
      <c r="A389">
        <f>IFERROR(__xludf.DUMMYFUNCTION("""COMPUTED_VALUE"""),"33. Individual client cards available; planning for CD4 cell counts")</f>
        <v>0</v>
      </c>
      <c r="B389">
        <f>IFERROR(6b</f>
        <v>0</v>
      </c>
      <c r="D389">
        <f>IFERROR(__xludf.DUMMYFUNCTION("""COMPUTED_VALUE"""),"33. Individual client cards available; planning for CD4 cell counts")</f>
        <v>0</v>
      </c>
      <c r="H389">
        <f>IFERROR(__xludf.DUMMYFUNCTION("""COMPUTED_VALUE"""),"select_one yes_no")</f>
        <v>0</v>
      </c>
    </row>
    <row r="390" spans="1:8">
      <c r="A390">
        <f>IFERROR(__xludf.DUMMYFUNCTION("""COMPUTED_VALUE"""),"34. Is there TB-HIV collaboration programe in the facility?")</f>
        <v>0</v>
      </c>
      <c r="B390">
        <f>IFERROR(9b</f>
        <v>0</v>
      </c>
      <c r="D390">
        <f>IFERROR(__xludf.DUMMYFUNCTION("""COMPUTED_VALUE"""),"34. Is there TB-HIV collaboration programe in the facility?")</f>
        <v>0</v>
      </c>
      <c r="H390">
        <f>IFERROR(__xludf.DUMMYFUNCTION("""COMPUTED_VALUE"""),"select_one yes_no")</f>
        <v>0</v>
      </c>
    </row>
    <row r="391" spans="1:8">
      <c r="A391">
        <f>IFERROR(__xludf.DUMMYFUNCTION("""COMPUTED_VALUE"""),"35. Is there a DOTS clinic in this facility?")</f>
        <v>0</v>
      </c>
      <c r="B391">
        <f>IFERROR(2a</f>
        <v>0</v>
      </c>
      <c r="D391">
        <f>IFERROR(__xludf.DUMMYFUNCTION("""COMPUTED_VALUE"""),"35. Is there a DOTS clinic in this facility?")</f>
        <v>0</v>
      </c>
      <c r="H391">
        <f>IFERROR(__xludf.DUMMYFUNCTION("""COMPUTED_VALUE"""),"select_one yes_no")</f>
        <v>0</v>
      </c>
    </row>
    <row r="392" spans="1:8">
      <c r="A392">
        <f>IFERROR(__xludf.DUMMYFUNCTION("""COMPUTED_VALUE"""),"36. Is the DOTS clinic well ventilated and separate from other clinics?")</f>
        <v>0</v>
      </c>
      <c r="B392">
        <f>IFERROR(5N</f>
        <v>0</v>
      </c>
      <c r="D392">
        <f>IFERROR(__xludf.DUMMYFUNCTION("""COMPUTED_VALUE"""),"36. Is the DOTS clinic well ventilated and separate from other clinics?")</f>
        <v>0</v>
      </c>
      <c r="H392">
        <f>IFERROR(__xludf.DUMMYFUNCTION("""COMPUTED_VALUE"""),"select_one yes_no")</f>
        <v>0</v>
      </c>
    </row>
    <row r="393" spans="1:8">
      <c r="A393">
        <f>IFERROR(__xludf.DUMMYFUNCTION("""COMPUTED_VALUE"""),"37. Is there a DOTS focal persons(s)?")</f>
        <v>0</v>
      </c>
      <c r="B393">
        <f>IFERROR(3e</f>
        <v>0</v>
      </c>
      <c r="D393">
        <f>IFERROR(__xludf.DUMMYFUNCTION("""COMPUTED_VALUE"""),"37. Is there a DOTS focal persons(s)?")</f>
        <v>0</v>
      </c>
      <c r="H393">
        <f>IFERROR(__xludf.DUMMYFUNCTION("""COMPUTED_VALUE"""),"select_one yes_no")</f>
        <v>0</v>
      </c>
    </row>
    <row r="394" spans="1:8">
      <c r="A394">
        <f>IFERROR(__xludf.DUMMYFUNCTION("""COMPUTED_VALUE"""),"38. Is the focal person(s) formally trained/retrained to provide DOTS services in the last 5 years?")</f>
        <v>0</v>
      </c>
      <c r="B394">
        <f>IFERROR(3i</f>
        <v>0</v>
      </c>
      <c r="D394">
        <f>IFERROR(__xludf.DUMMYFUNCTION("""COMPUTED_VALUE"""),"38. Is the focal person(s) formally trained/retrained to provide DOTS services in the last 5 years?")</f>
        <v>0</v>
      </c>
      <c r="H394">
        <f>IFERROR(__xludf.DUMMYFUNCTION("""COMPUTED_VALUE"""),"select_one yes_no")</f>
        <v>0</v>
      </c>
    </row>
    <row r="395" spans="1:8">
      <c r="A395">
        <f>IFERROR(__xludf.DUMMYFUNCTION("""COMPUTED_VALUE"""),"39. Is there a well-ventilated patient waiting area?")</f>
        <v>0</v>
      </c>
      <c r="B395">
        <f>IFERROR(1q</f>
        <v>0</v>
      </c>
      <c r="D395">
        <f>IFERROR(__xludf.DUMMYFUNCTION("""COMPUTED_VALUE"""),"39. Is there a well-ventilated patient waiting area?")</f>
        <v>0</v>
      </c>
      <c r="H395">
        <f>IFERROR(__xludf.DUMMYFUNCTION("""COMPUTED_VALUE"""),"select_one yes_no")</f>
        <v>0</v>
      </c>
    </row>
    <row r="396" spans="1:8">
      <c r="A396">
        <f>IFERROR(__xludf.DUMMYFUNCTION("""COMPUTED_VALUE"""),"40. Are IEC materials on TB available in the clinic?")</f>
        <v>0</v>
      </c>
      <c r="B396">
        <f>IFERROR(6A</f>
        <v>0</v>
      </c>
      <c r="D396">
        <f>IFERROR(__xludf.DUMMYFUNCTION("""COMPUTED_VALUE"""),"40. Are IEC materials on TB available in the clinic?")</f>
        <v>0</v>
      </c>
      <c r="H396">
        <f>IFERROR(__xludf.DUMMYFUNCTION("""COMPUTED_VALUE"""),"select_one yes_no")</f>
        <v>0</v>
      </c>
    </row>
    <row r="397" spans="1:8">
      <c r="A397">
        <f>IFERROR(__xludf.DUMMYFUNCTION("""COMPUTED_VALUE"""),"41. Are TB data collection tools available ? (Presumptive Register, Specimen Request form, Treatment Register, Patient Treatent card, Appointment card, Stock card)")</f>
        <v>0</v>
      </c>
      <c r="B397">
        <f>IFERROR(6V</f>
        <v>0</v>
      </c>
      <c r="D397">
        <f>IFERROR(__xludf.DUMMYFUNCTION("""COMPUTED_VALUE"""),"41. Are TB data collection tools available ? (Presumptive Register, Specimen Request form, Treatment Register, Patient Treatent card, Appointment card, Stock card)")</f>
        <v>0</v>
      </c>
      <c r="H397">
        <f>IFERROR(__xludf.DUMMYFUNCTION("""COMPUTED_VALUE"""),"select_one yes_no")</f>
        <v>0</v>
      </c>
    </row>
    <row r="398" spans="1:8">
      <c r="A398">
        <f>IFERROR(__xludf.DUMMYFUNCTION("""COMPUTED_VALUE"""),"42. Is there a functional weighing scale available?")</f>
        <v>0</v>
      </c>
      <c r="B398">
        <f>IFERROR(7r</f>
        <v>0</v>
      </c>
      <c r="D398">
        <f>IFERROR(__xludf.DUMMYFUNCTION("""COMPUTED_VALUE"""),"42. Is there a functional weighing scale available?")</f>
        <v>0</v>
      </c>
      <c r="H398">
        <f>IFERROR(__xludf.DUMMYFUNCTION("""COMPUTED_VALUE"""),"select_one yes_no")</f>
        <v>0</v>
      </c>
    </row>
    <row r="399" spans="1:8">
      <c r="A399">
        <f>IFERROR(__xludf.DUMMYFUNCTION("""COMPUTED_VALUE"""),"43. Do you screen for TB at this facility")</f>
        <v>0</v>
      </c>
      <c r="B399">
        <f>IFERROR(8D</f>
        <v>0</v>
      </c>
      <c r="D399">
        <f>IFERROR(__xludf.DUMMYFUNCTION("""COMPUTED_VALUE"""),"43. Do you screen for TB at this facility")</f>
        <v>0</v>
      </c>
      <c r="H399">
        <f>IFERROR(__xludf.DUMMYFUNCTION("""COMPUTED_VALUE"""),"select_one yes_no")</f>
        <v>0</v>
      </c>
    </row>
    <row r="400" spans="1:8">
      <c r="A400">
        <f>IFERROR(__xludf.DUMMYFUNCTION("""COMPUTED_VALUE"""),"44. do you conduct laboratory diagnosis for suspected cases?")</f>
        <v>0</v>
      </c>
      <c r="B400">
        <f>IFERROR(3F</f>
        <v>0</v>
      </c>
      <c r="D400">
        <f>IFERROR(__xludf.DUMMYFUNCTION("""COMPUTED_VALUE"""),"44. do you conduct laboratory diagnosis for suspected cases?")</f>
        <v>0</v>
      </c>
      <c r="H400">
        <f>IFERROR(__xludf.DUMMYFUNCTION("""COMPUTED_VALUE"""),"select_one yes_no")</f>
        <v>0</v>
      </c>
    </row>
    <row r="401" spans="1:8">
      <c r="A401">
        <f>IFERROR(__xludf.DUMMYFUNCTION("""COMPUTED_VALUE"""),"45. what method of diagnosis do you use?")</f>
        <v>0</v>
      </c>
      <c r="B401">
        <f>IFERROR(2D</f>
        <v>0</v>
      </c>
      <c r="D401">
        <f>IFERROR(__xludf.DUMMYFUNCTION("""COMPUTED_VALUE"""),"45. what method of diagnosis do you use?")</f>
        <v>0</v>
      </c>
      <c r="H401">
        <f>IFERROR(__xludf.DUMMYFUNCTION("""COMPUTED_VALUE"""),"select_multiple diag_nosis")</f>
        <v>0</v>
      </c>
    </row>
    <row r="402" spans="1:8">
      <c r="A402">
        <f>IFERROR(__xludf.DUMMYFUNCTION("""COMPUTED_VALUE"""),"46. What is the turn around time for this investigation?")</f>
        <v>0</v>
      </c>
      <c r="B402">
        <f>IFERROR(6E</f>
        <v>0</v>
      </c>
      <c r="D402">
        <f>IFERROR(__xludf.DUMMYFUNCTION("""COMPUTED_VALUE"""),"46. What is the turn around time for this investigation?")</f>
        <v>0</v>
      </c>
      <c r="H402">
        <f>IFERROR(__xludf.DUMMYFUNCTION("""COMPUTED_VALUE"""),"select_multiple micro_scopy")</f>
        <v>0</v>
      </c>
    </row>
    <row r="403" spans="1:8">
      <c r="A403">
        <f>IFERROR(__xludf.DUMMYFUNCTION("""COMPUTED_VALUE"""),"47. Referral system and follow up for HIV positive clients")</f>
        <v>0</v>
      </c>
      <c r="B403">
        <f>IFERROR(8x</f>
        <v>0</v>
      </c>
      <c r="D403">
        <f>IFERROR(__xludf.DUMMYFUNCTION("""COMPUTED_VALUE"""),"47. Referral system and follow up for HIV positive clients")</f>
        <v>0</v>
      </c>
      <c r="H403">
        <f>IFERROR(__xludf.DUMMYFUNCTION("""COMPUTED_VALUE"""),"select_one yes1_no0")</f>
        <v>0</v>
      </c>
    </row>
    <row r="404" spans="1:8">
      <c r="A404">
        <f>IFERROR(__xludf.DUMMYFUNCTION("""COMPUTED_VALUE"""),"48. Referral system and follow up for TB patients")</f>
        <v>0</v>
      </c>
      <c r="B404">
        <f>IFERROR(5T</f>
        <v>0</v>
      </c>
      <c r="D404">
        <f>IFERROR(__xludf.DUMMYFUNCTION("""COMPUTED_VALUE"""),"48. Referral system and follow up for TB patients")</f>
        <v>0</v>
      </c>
      <c r="H404">
        <f>IFERROR(__xludf.DUMMYFUNCTION("""COMPUTED_VALUE"""),"select_one yes2_no0")</f>
        <v>0</v>
      </c>
    </row>
    <row r="405" spans="1:8">
      <c r="A405">
        <f>IFERROR(__xludf.DUMMYFUNCTION("""COMPUTED_VALUE"""),"49. Availability of anti-tuberculosis drugs")</f>
        <v>0</v>
      </c>
      <c r="B405">
        <f>IFERROR(8w</f>
        <v>0</v>
      </c>
      <c r="D405">
        <f>IFERROR(__xludf.DUMMYFUNCTION("""COMPUTED_VALUE"""),"49. Availability of anti-tuberculosis drugs")</f>
        <v>0</v>
      </c>
      <c r="H405">
        <f>IFERROR(__xludf.DUMMYFUNCTION("""COMPUTED_VALUE"""),"select_one yes1_no0")</f>
        <v>0</v>
      </c>
    </row>
    <row r="406" spans="1:8">
      <c r="A406">
        <f>IFERROR(__xludf.DUMMYFUNCTION("""COMPUTED_VALUE"""),"")</f>
        <v>0</v>
      </c>
      <c r="B406">
        <f>IFERROR(3s</f>
        <v>0</v>
      </c>
      <c r="D406">
        <f>IFERROR(__xludf.DUMMYFUNCTION("""COMPUTED_VALUE"""),"")</f>
        <v>0</v>
      </c>
      <c r="H406">
        <f>IFERROR(__xludf.DUMMYFUNCTION("""COMPUTED_VALUE"""),"calculate")</f>
        <v>0</v>
      </c>
    </row>
    <row r="407" spans="1:8">
      <c r="A407">
        <f>IFERROR(__xludf.DUMMYFUNCTION("""COMPUTED_VALUE"""),"11.0 key comments")</f>
        <v>0</v>
      </c>
      <c r="B407">
        <f>IFERROR(6V</f>
        <v>0</v>
      </c>
      <c r="D407">
        <f>IFERROR(__xludf.DUMMYFUNCTION("""COMPUTED_VALUE"""),"11.0 key comments")</f>
        <v>0</v>
      </c>
      <c r="H407">
        <f>IFERROR(__xludf.DUMMYFUNCTION("""COMPUTED_VALUE"""),"text")</f>
        <v>0</v>
      </c>
    </row>
    <row r="408" spans="1:8">
      <c r="A408">
        <f>IFERROR(__xludf.DUMMYFUNCTION("""COMPUTED_VALUE"""),"11.0 action plan")</f>
        <v>0</v>
      </c>
      <c r="B408">
        <f>IFERROR(3D</f>
        <v>0</v>
      </c>
      <c r="D408">
        <f>IFERROR(__xludf.DUMMYFUNCTION("""COMPUTED_VALUE"""),"11.0 action plan")</f>
        <v>0</v>
      </c>
      <c r="H408">
        <f>IFERROR(__xludf.DUMMYFUNCTION("""COMPUTED_VALUE"""),"text")</f>
        <v>0</v>
      </c>
    </row>
    <row r="409" spans="1:8">
      <c r="A409">
        <f>IFERROR(__xludf.DUMMYFUNCTION("""COMPUTED_VALUE"""),"")</f>
        <v>0</v>
      </c>
      <c r="B409">
        <f>IFERROR06o</f>
        <v>0</v>
      </c>
      <c r="D409">
        <f>IFERROR(__xludf.DUMMYFUNCTION("""COMPUTED_VALUE"""),"")</f>
        <v>0</v>
      </c>
      <c r="H409">
        <f>IFERROR(__xludf.DUMMYFUNCTION("""COMPUTED_VALUE"""),"end_group")</f>
        <v>0</v>
      </c>
    </row>
    <row r="410" spans="1:8">
      <c r="A410">
        <f>IFERROR(__xludf.DUMMYFUNCTION("""COMPUTED_VALUE"""),"Section 12. Surgery ")</f>
        <v>0</v>
      </c>
      <c r="B410">
        <f>IFERROR(0d</f>
        <v>0</v>
      </c>
      <c r="D410">
        <f>IFERROR(__xludf.DUMMYFUNCTION("""COMPUTED_VALUE"""),"Section 12. Surgery ")</f>
        <v>0</v>
      </c>
      <c r="H410">
        <f>IFERROR(__xludf.DUMMYFUNCTION("""COMPUTED_VALUE"""),"begin_group")</f>
        <v>0</v>
      </c>
    </row>
    <row r="411" spans="1:8">
      <c r="A411">
        <f>IFERROR(__xludf.DUMMYFUNCTION("""COMPUTED_VALUE"""),"12.1 Blood bank: emergency preparedness")</f>
        <v>0</v>
      </c>
      <c r="B411">
        <f>IFERROR(0t</f>
        <v>0</v>
      </c>
      <c r="D411">
        <f>IFERROR(__xludf.DUMMYFUNCTION("""COMPUTED_VALUE"""),"12.1 Blood bank: emergency preparedness")</f>
        <v>0</v>
      </c>
      <c r="H411">
        <f>IFERROR(__xludf.DUMMYFUNCTION("""COMPUTED_VALUE"""),"note")</f>
        <v>0</v>
      </c>
    </row>
    <row r="412" spans="1:8">
      <c r="A412">
        <f>IFERROR(__xludf.DUMMYFUNCTION("""COMPUTED_VALUE"""),"1. is there a functional blood bank?")</f>
        <v>0</v>
      </c>
      <c r="B412">
        <f>IFERROR(7o</f>
        <v>0</v>
      </c>
      <c r="D412">
        <f>IFERROR(__xludf.DUMMYFUNCTION("""COMPUTED_VALUE"""),"1. is there a functional blood bank?")</f>
        <v>0</v>
      </c>
      <c r="H412">
        <f>IFERROR(__xludf.DUMMYFUNCTION("""COMPUTED_VALUE"""),"select_one yes_no")</f>
        <v>0</v>
      </c>
    </row>
    <row r="413" spans="1:8">
      <c r="A413">
        <f>IFERROR(__xludf.DUMMYFUNCTION("""COMPUTED_VALUE"""),"2. How many doctors perform surgery in this facility?")</f>
        <v>0</v>
      </c>
      <c r="B413">
        <f>IFERROR(0T</f>
        <v>0</v>
      </c>
      <c r="D413">
        <f>IFERROR(__xludf.DUMMYFUNCTION("""COMPUTED_VALUE"""),"2. How many doctors perform surgery in this facility?")</f>
        <v>0</v>
      </c>
      <c r="H413">
        <f>IFERROR(__xludf.DUMMYFUNCTION("""COMPUTED_VALUE"""),"integer")</f>
        <v>0</v>
      </c>
    </row>
    <row r="414" spans="1:8">
      <c r="A414">
        <f>IFERROR(__xludf.DUMMYFUNCTION("""COMPUTED_VALUE"""),"3. How many consultant surgeons operate in this facility?")</f>
        <v>0</v>
      </c>
      <c r="B414">
        <f>IFERROR(6b</f>
        <v>0</v>
      </c>
      <c r="D414">
        <f>IFERROR(__xludf.DUMMYFUNCTION("""COMPUTED_VALUE"""),"3. How many consultant surgeons operate in this facility?")</f>
        <v>0</v>
      </c>
      <c r="H414">
        <f>IFERROR(__xludf.DUMMYFUNCTION("""COMPUTED_VALUE"""),"integer")</f>
        <v>0</v>
      </c>
    </row>
    <row r="415" spans="1:8">
      <c r="A415">
        <f>IFERROR(__xludf.DUMMYFUNCTION("""COMPUTED_VALUE"""),"4. Does this facility conduct specialized surgeries?")</f>
        <v>0</v>
      </c>
      <c r="B415">
        <f>IFERROR(8w</f>
        <v>0</v>
      </c>
      <c r="D415">
        <f>IFERROR(__xludf.DUMMYFUNCTION("""COMPUTED_VALUE"""),"4. Does this facility conduct specialized surgeries?")</f>
        <v>0</v>
      </c>
      <c r="H415">
        <f>IFERROR(__xludf.DUMMYFUNCTION("""COMPUTED_VALUE"""),"select_one yes_no")</f>
        <v>0</v>
      </c>
    </row>
    <row r="416" spans="1:8">
      <c r="A416">
        <f>IFERROR(__xludf.DUMMYFUNCTION("""COMPUTED_VALUE"""),"5. List the specialties:")</f>
        <v>0</v>
      </c>
      <c r="B416">
        <f>IFERROR(3S</f>
        <v>0</v>
      </c>
      <c r="D416">
        <f>IFERROR(__xludf.DUMMYFUNCTION("""COMPUTED_VALUE"""),"5. List the specialties:")</f>
        <v>0</v>
      </c>
      <c r="H416">
        <f>IFERROR(__xludf.DUMMYFUNCTION("""COMPUTED_VALUE"""),"text")</f>
        <v>0</v>
      </c>
    </row>
    <row r="417" spans="1:8">
      <c r="A417">
        <f>IFERROR(__xludf.DUMMYFUNCTION("""COMPUTED_VALUE"""),"6. Availability of one transfusion certified staff member (Check certificate: original or photocopy certified by the HSMB)")</f>
        <v>0</v>
      </c>
      <c r="B417">
        <f>IFERROR(0K</f>
        <v>0</v>
      </c>
      <c r="D417">
        <f>IFERROR(__xludf.DUMMYFUNCTION("""COMPUTED_VALUE"""),"6. Availability of one transfusion certified staff member (Check certificate: original or photocopy certified by the HSMB)")</f>
        <v>0</v>
      </c>
      <c r="H417">
        <f>IFERROR(__xludf.DUMMYFUNCTION("""COMPUTED_VALUE"""),"select_one yes1_no0")</f>
        <v>0</v>
      </c>
    </row>
    <row r="418" spans="1:8">
      <c r="A418">
        <f>IFERROR(__xludf.DUMMYFUNCTION("""COMPUTED_VALUE"""),"7. Availability of reagents for grouping and X-matching, properly stored")</f>
        <v>0</v>
      </c>
      <c r="B418">
        <f>IFERROR(2s</f>
        <v>0</v>
      </c>
      <c r="D418">
        <f>IFERROR(__xludf.DUMMYFUNCTION("""COMPUTED_VALUE"""),"7. Availability of reagents for grouping and X-matching, properly stored")</f>
        <v>0</v>
      </c>
      <c r="H418">
        <f>IFERROR(__xludf.DUMMYFUNCTION("""COMPUTED_VALUE"""),"select_one yes2_no0")</f>
        <v>0</v>
      </c>
    </row>
    <row r="419" spans="1:8">
      <c r="A419">
        <f>IFERROR(__xludf.DUMMYFUNCTION("""COMPUTED_VALUE"""),"8. Minimum 2 units of fresh blood O rhesus negative type, non expired available")</f>
        <v>0</v>
      </c>
      <c r="B419">
        <f>IFERROR(1r</f>
        <v>0</v>
      </c>
      <c r="D419">
        <f>IFERROR(__xludf.DUMMYFUNCTION("""COMPUTED_VALUE"""),"8. Minimum 2 units of fresh blood O rhesus negative type, non expired available")</f>
        <v>0</v>
      </c>
      <c r="H419">
        <f>IFERROR(__xludf.DUMMYFUNCTION("""COMPUTED_VALUE"""),"select_one yes20_no0")</f>
        <v>0</v>
      </c>
    </row>
    <row r="420" spans="1:8">
      <c r="A420">
        <f>IFERROR(__xludf.DUMMYFUNCTION("""COMPUTED_VALUE"""),"9. Blood stored according to the norms (between 2 to 4°C); refrigerator is functional; has power back up system (functional generator) or kerosene type with stock of kerosene; temperature measured twice daily")</f>
        <v>0</v>
      </c>
      <c r="B420">
        <f>IFERROR(1m</f>
        <v>0</v>
      </c>
      <c r="D420">
        <f>IFERROR(__xludf.DUMMYFUNCTION("""COMPUTED_VALUE"""),"9. Blood stored according to the norms (between 2 to 4°C); refrigerator is functional; has power back up system (functional generator) or kerosene type with stock of kerosene; temperature measured twice daily")</f>
        <v>0</v>
      </c>
      <c r="H420">
        <f>IFERROR(__xludf.DUMMYFUNCTION("""COMPUTED_VALUE"""),"select_one yes5_no0")</f>
        <v>0</v>
      </c>
    </row>
    <row r="421" spans="1:8">
      <c r="A421">
        <f>IFERROR(__xludf.DUMMYFUNCTION("""COMPUTED_VALUE"""),"10. HIV, Syphilis test, and HepB tests available, and blood stored has been tested")</f>
        <v>0</v>
      </c>
      <c r="B421">
        <f>IFERROR(9U</f>
        <v>0</v>
      </c>
      <c r="D421">
        <f>IFERROR(__xludf.DUMMYFUNCTION("""COMPUTED_VALUE"""),"10. HIV, Syphilis test, and HepB tests available, and blood stored has been tested")</f>
        <v>0</v>
      </c>
      <c r="H421">
        <f>IFERROR(__xludf.DUMMYFUNCTION("""COMPUTED_VALUE"""),"select_one yes5_no0")</f>
        <v>0</v>
      </c>
    </row>
    <row r="422" spans="1:8">
      <c r="A422">
        <f>IFERROR(__xludf.DUMMYFUNCTION("""COMPUTED_VALUE"""),"11. Is Sterilization according to the norms?")</f>
        <v>0</v>
      </c>
      <c r="B422">
        <f>IFERROR(7f</f>
        <v>0</v>
      </c>
      <c r="D422">
        <f>IFERROR(__xludf.DUMMYFUNCTION("""COMPUTED_VALUE"""),"11. Is Sterilization according to the norms?")</f>
        <v>0</v>
      </c>
      <c r="H422">
        <f>IFERROR(__xludf.DUMMYFUNCTION("""COMPUTED_VALUE"""),"select_one yes3_no0")</f>
        <v>0</v>
      </c>
    </row>
    <row r="423" spans="1:8">
      <c r="A423">
        <f>IFERROR(__xludf.DUMMYFUNCTION("""COMPUTED_VALUE"""),"12. Is minor surgery done in a separate room from the major surgical procedures?")</f>
        <v>0</v>
      </c>
      <c r="B423">
        <f>IFERROR(7z</f>
        <v>0</v>
      </c>
      <c r="D423">
        <f>IFERROR(__xludf.DUMMYFUNCTION("""COMPUTED_VALUE"""),"12. Is minor surgery done in a separate room from the major surgical procedures?")</f>
        <v>0</v>
      </c>
      <c r="H423">
        <f>IFERROR(__xludf.DUMMYFUNCTION("""COMPUTED_VALUE"""),"select_one yes1_no0")</f>
        <v>0</v>
      </c>
    </row>
    <row r="424" spans="1:8">
      <c r="A424">
        <f>IFERROR(__xludf.DUMMYFUNCTION("""COMPUTED_VALUE"""),"13. Is there a functioning theater lamp?")</f>
        <v>0</v>
      </c>
      <c r="B424">
        <f>IFERROR(2N</f>
        <v>0</v>
      </c>
      <c r="D424">
        <f>IFERROR(__xludf.DUMMYFUNCTION("""COMPUTED_VALUE"""),"13. Is there a functioning theater lamp?")</f>
        <v>0</v>
      </c>
      <c r="H424">
        <f>IFERROR(__xludf.DUMMYFUNCTION("""COMPUTED_VALUE"""),"select_one yes1_no0")</f>
        <v>0</v>
      </c>
    </row>
    <row r="425" spans="1:8">
      <c r="A425">
        <f>IFERROR(__xludf.DUMMYFUNCTION("""COMPUTED_VALUE"""),"14. Is there functioning theater table?")</f>
        <v>0</v>
      </c>
      <c r="B425">
        <f>IFERROR(7A</f>
        <v>0</v>
      </c>
      <c r="D425">
        <f>IFERROR(__xludf.DUMMYFUNCTION("""COMPUTED_VALUE"""),"14. Is there functioning theater table?")</f>
        <v>0</v>
      </c>
      <c r="H425">
        <f>IFERROR(__xludf.DUMMYFUNCTION("""COMPUTED_VALUE"""),"select_one yes1_no0")</f>
        <v>0</v>
      </c>
    </row>
    <row r="426" spans="1:8">
      <c r="A426">
        <f>IFERROR(__xludf.DUMMYFUNCTION("""COMPUTED_VALUE"""),"")</f>
        <v>0</v>
      </c>
      <c r="B426">
        <f>IFERROR(4m</f>
        <v>0</v>
      </c>
      <c r="D426">
        <f>IFERROR(__xludf.DUMMYFUNCTION("""COMPUTED_VALUE"""),"")</f>
        <v>0</v>
      </c>
      <c r="H426">
        <f>IFERROR(__xludf.DUMMYFUNCTION("""COMPUTED_VALUE"""),"calculate")</f>
        <v>0</v>
      </c>
    </row>
    <row r="427" spans="1:8">
      <c r="A427">
        <f>IFERROR(__xludf.DUMMYFUNCTION("""COMPUTED_VALUE"""),"12.2 Preparedness")</f>
        <v>0</v>
      </c>
      <c r="B427">
        <f>IFERROR(5C</f>
        <v>0</v>
      </c>
      <c r="D427">
        <f>IFERROR(__xludf.DUMMYFUNCTION("""COMPUTED_VALUE"""),"12.2 Preparedness")</f>
        <v>0</v>
      </c>
      <c r="H427">
        <f>IFERROR(__xludf.DUMMYFUNCTION("""COMPUTED_VALUE"""),"begin_group")</f>
        <v>0</v>
      </c>
    </row>
    <row r="428" spans="1:8">
      <c r="A428">
        <f>IFERROR(__xludf.DUMMYFUNCTION("""COMPUTED_VALUE"""),"15. Is there at  least one sterilized major surgery set available, with date of sterilization indicated on the pack?")</f>
        <v>0</v>
      </c>
      <c r="B428">
        <f>IFERROR(1s</f>
        <v>0</v>
      </c>
      <c r="D428">
        <f>IFERROR(__xludf.DUMMYFUNCTION("""COMPUTED_VALUE"""),"15. Is there at  least one sterilized major surgery set available, with date of sterilization indicated on the pack?")</f>
        <v>0</v>
      </c>
      <c r="H428">
        <f>IFERROR(__xludf.DUMMYFUNCTION("""COMPUTED_VALUE"""),"select_one yes2_no0")</f>
        <v>0</v>
      </c>
    </row>
    <row r="429" spans="1:8">
      <c r="A429">
        <f>IFERROR(__xludf.DUMMYFUNCTION("""COMPUTED_VALUE"""),"16. Is there at least one sterilized CS set available, with date of sterilization indicated on the pack?")</f>
        <v>0</v>
      </c>
      <c r="B429">
        <f>IFERROR(9s</f>
        <v>0</v>
      </c>
      <c r="D429">
        <f>IFERROR(__xludf.DUMMYFUNCTION("""COMPUTED_VALUE"""),"16. Is there at least one sterilized CS set available, with date of sterilization indicated on the pack?")</f>
        <v>0</v>
      </c>
      <c r="H429">
        <f>IFERROR(__xludf.DUMMYFUNCTION("""COMPUTED_VALUE"""),"select_one yes2_no0")</f>
        <v>0</v>
      </c>
    </row>
    <row r="430" spans="1:8">
      <c r="A430">
        <f>IFERROR(__xludf.DUMMYFUNCTION("""COMPUTED_VALUE"""),"17. Is there at  least 4 L of Ringers Lactate available in the theater?")</f>
        <v>0</v>
      </c>
      <c r="B430">
        <f>IFERROR(8m</f>
        <v>0</v>
      </c>
      <c r="D430">
        <f>IFERROR(__xludf.DUMMYFUNCTION("""COMPUTED_VALUE"""),"17. Is there at  least 4 L of Ringers Lactate available in the theater?")</f>
        <v>0</v>
      </c>
      <c r="H430">
        <f>IFERROR(__xludf.DUMMYFUNCTION("""COMPUTED_VALUE"""),"select_one yes0p5_no0")</f>
        <v>0</v>
      </c>
    </row>
    <row r="431" spans="1:8">
      <c r="A431">
        <f>IFERROR(__xludf.DUMMYFUNCTION("""COMPUTED_VALUE"""),"18. Is there at least 2 bags of Colloids available in the theater?")</f>
        <v>0</v>
      </c>
      <c r="B431">
        <f>IFERROR(6r</f>
        <v>0</v>
      </c>
      <c r="D431">
        <f>IFERROR(__xludf.DUMMYFUNCTION("""COMPUTED_VALUE"""),"18. Is there at least 2 bags of Colloids available in the theater?")</f>
        <v>0</v>
      </c>
      <c r="H431">
        <f>IFERROR(__xludf.DUMMYFUNCTION("""COMPUTED_VALUE"""),"select_one yes0p5_no0")</f>
        <v>0</v>
      </c>
    </row>
    <row r="432" spans="1:8">
      <c r="A432">
        <f>IFERROR(__xludf.DUMMYFUNCTION("""COMPUTED_VALUE"""),"19. Does theater smell of disinfectant, and cleaning schedule is available?")</f>
        <v>0</v>
      </c>
      <c r="B432">
        <f>IFERROR(0L</f>
        <v>0</v>
      </c>
      <c r="D432">
        <f>IFERROR(__xludf.DUMMYFUNCTION("""COMPUTED_VALUE"""),"19. Does theater smell of disinfectant, and cleaning schedule is available?")</f>
        <v>0</v>
      </c>
      <c r="H432">
        <f>IFERROR(__xludf.DUMMYFUNCTION("""COMPUTED_VALUE"""),"select_one yes1_no0")</f>
        <v>0</v>
      </c>
    </row>
    <row r="433" spans="1:8">
      <c r="A433">
        <f>IFERROR(__xludf.DUMMYFUNCTION("""COMPUTED_VALUE"""),"20. Is there a nursing/technical Staff trained in anesthesia presently on duty (at the least ketamine or spinal)")</f>
        <v>0</v>
      </c>
      <c r="B433">
        <f>IFERROR(9Y</f>
        <v>0</v>
      </c>
      <c r="D433">
        <f>IFERROR(__xludf.DUMMYFUNCTION("""COMPUTED_VALUE"""),"20. Is there a nursing/technical Staff trained in anesthesia presently on duty (at the least ketamine or spinal)")</f>
        <v>0</v>
      </c>
      <c r="H433">
        <f>IFERROR(__xludf.DUMMYFUNCTION("""COMPUTED_VALUE"""),"select_one yes2_no0")</f>
        <v>0</v>
      </c>
    </row>
    <row r="434" spans="1:8">
      <c r="A434">
        <f>IFERROR(__xludf.DUMMYFUNCTION("""COMPUTED_VALUE"""),"21. Qualified Medical Doctor with experience doing CS presently on duty")</f>
        <v>0</v>
      </c>
      <c r="B434">
        <f>IFERROR(5E</f>
        <v>0</v>
      </c>
      <c r="D434">
        <f>IFERROR(__xludf.DUMMYFUNCTION("""COMPUTED_VALUE"""),"21. Qualified Medical Doctor with experience doing CS presently on duty")</f>
        <v>0</v>
      </c>
      <c r="H434">
        <f>IFERROR(__xludf.DUMMYFUNCTION("""COMPUTED_VALUE"""),"select_one yes5_no0")</f>
        <v>0</v>
      </c>
    </row>
    <row r="435" spans="1:8">
      <c r="A435">
        <f>IFERROR(__xludf.DUMMYFUNCTION("""COMPUTED_VALUE"""),"22. Nursing Staff trained in theater procedures presently on duty (Check certificate: original or photocopy certified by the HSMB)")</f>
        <v>0</v>
      </c>
      <c r="B435">
        <f>IFERROR(8Y</f>
        <v>0</v>
      </c>
      <c r="D435">
        <f>IFERROR(__xludf.DUMMYFUNCTION("""COMPUTED_VALUE"""),"22. Nursing Staff trained in theater procedures presently on duty (Check certificate: original or photocopy certified by the HSMB)")</f>
        <v>0</v>
      </c>
      <c r="H435">
        <f>IFERROR(__xludf.DUMMYFUNCTION("""COMPUTED_VALUE"""),"select_one yes2_no0")</f>
        <v>0</v>
      </c>
    </row>
    <row r="436" spans="1:8">
      <c r="A436">
        <f>IFERROR(__xludf.DUMMYFUNCTION("""COMPUTED_VALUE"""),"12.2 key comments")</f>
        <v>0</v>
      </c>
      <c r="B436">
        <f>IFERROR(6E</f>
        <v>0</v>
      </c>
      <c r="D436">
        <f>IFERROR(__xludf.DUMMYFUNCTION("""COMPUTED_VALUE"""),"12.2 key comments")</f>
        <v>0</v>
      </c>
      <c r="H436">
        <f>IFERROR(__xludf.DUMMYFUNCTION("""COMPUTED_VALUE"""),"text")</f>
        <v>0</v>
      </c>
    </row>
    <row r="437" spans="1:8">
      <c r="A437">
        <f>IFERROR(__xludf.DUMMYFUNCTION("""COMPUTED_VALUE"""),"12.2 action plan")</f>
        <v>0</v>
      </c>
      <c r="B437">
        <f>IFERROR(2N</f>
        <v>0</v>
      </c>
      <c r="D437">
        <f>IFERROR(__xludf.DUMMYFUNCTION("""COMPUTED_VALUE"""),"12.2 action plan")</f>
        <v>0</v>
      </c>
      <c r="H437">
        <f>IFERROR(__xludf.DUMMYFUNCTION("""COMPUTED_VALUE"""),"text")</f>
        <v>0</v>
      </c>
    </row>
    <row r="438" spans="1:8">
      <c r="A438">
        <f>IFERROR(__xludf.DUMMYFUNCTION("""COMPUTED_VALUE"""),"")</f>
        <v>0</v>
      </c>
      <c r="B438">
        <f>IFERROR09v</f>
        <v>0</v>
      </c>
      <c r="D438">
        <f>IFERROR(__xludf.DUMMYFUNCTION("""COMPUTED_VALUE"""),"")</f>
        <v>0</v>
      </c>
      <c r="H438">
        <f>IFERROR(__xludf.DUMMYFUNCTION("""COMPUTED_VALUE"""),"end_group")</f>
        <v>0</v>
      </c>
    </row>
    <row r="439" spans="1:8">
      <c r="A439">
        <f>IFERROR(__xludf.DUMMYFUNCTION("""COMPUTED_VALUE"""),"")</f>
        <v>0</v>
      </c>
      <c r="B439">
        <f>IFERROR(0F</f>
        <v>0</v>
      </c>
      <c r="D439">
        <f>IFERROR(__xludf.DUMMYFUNCTION("""COMPUTED_VALUE"""),"")</f>
        <v>0</v>
      </c>
      <c r="H439">
        <f>IFERROR(__xludf.DUMMYFUNCTION("""COMPUTED_VALUE"""),"calculate")</f>
        <v>0</v>
      </c>
    </row>
    <row r="440" spans="1:8">
      <c r="A440">
        <f>IFERROR(__xludf.DUMMYFUNCTION("""COMPUTED_VALUE"""),"")</f>
        <v>0</v>
      </c>
      <c r="B440">
        <f>IFERROR01f</f>
        <v>0</v>
      </c>
      <c r="D440">
        <f>IFERROR(__xludf.DUMMYFUNCTION("""COMPUTED_VALUE"""),"")</f>
        <v>0</v>
      </c>
      <c r="H440">
        <f>IFERROR(__xludf.DUMMYFUNCTION("""COMPUTED_VALUE"""),"end_group")</f>
        <v>0</v>
      </c>
    </row>
    <row r="441" spans="1:8">
      <c r="A441">
        <f>IFERROR(__xludf.DUMMYFUNCTION("""COMPUTED_VALUE"""),"Section 13. Immunization ")</f>
        <v>0</v>
      </c>
      <c r="B441">
        <f>IFERROR(9O</f>
        <v>0</v>
      </c>
      <c r="D441">
        <f>IFERROR(__xludf.DUMMYFUNCTION("""COMPUTED_VALUE"""),"Section 13. Immunization ")</f>
        <v>0</v>
      </c>
      <c r="H441">
        <f>IFERROR(__xludf.DUMMYFUNCTION("""COMPUTED_VALUE"""),"begin_group")</f>
        <v>0</v>
      </c>
    </row>
    <row r="442" spans="1:8">
      <c r="A442">
        <f>IFERROR(__xludf.DUMMYFUNCTION("""COMPUTED_VALUE""")," 13.1 Identification Information")</f>
        <v>0</v>
      </c>
      <c r="B442">
        <f>IFERROR(4L</f>
        <v>0</v>
      </c>
      <c r="D442">
        <f>IFERROR(__xludf.DUMMYFUNCTION("""COMPUTED_VALUE""")," 13.1 Identification Information")</f>
        <v>0</v>
      </c>
      <c r="H442">
        <f>IFERROR(__xludf.DUMMYFUNCTION("""COMPUTED_VALUE"""),"note")</f>
        <v>0</v>
      </c>
    </row>
    <row r="443" spans="1:8">
      <c r="A443">
        <f>IFERROR(__xludf.DUMMYFUNCTION("""COMPUTED_VALUE"""),"1. Is this a high risk settlement for polio?")</f>
        <v>0</v>
      </c>
      <c r="B443">
        <f>IFERROR(9A</f>
        <v>0</v>
      </c>
      <c r="D443">
        <f>IFERROR(__xludf.DUMMYFUNCTION("""COMPUTED_VALUE"""),"1. Is this a high risk settlement for polio?")</f>
        <v>0</v>
      </c>
      <c r="H443">
        <f>IFERROR(__xludf.DUMMYFUNCTION("""COMPUTED_VALUE"""),"select_one yes1_no0")</f>
        <v>0</v>
      </c>
    </row>
    <row r="444" spans="1:8">
      <c r="A444">
        <f>IFERROR(__xludf.DUMMYFUNCTION("""COMPUTED_VALUE"""),"2. Is there a VCM working in this settlement?")</f>
        <v>0</v>
      </c>
      <c r="B444">
        <f>IFERROR(4x</f>
        <v>0</v>
      </c>
      <c r="D444">
        <f>IFERROR(__xludf.DUMMYFUNCTION("""COMPUTED_VALUE"""),"2. Is there a VCM working in this settlement?")</f>
        <v>0</v>
      </c>
      <c r="H444">
        <f>IFERROR(__xludf.DUMMYFUNCTION("""COMPUTED_VALUE"""),"select_one yes1_no0")</f>
        <v>0</v>
      </c>
    </row>
    <row r="445" spans="1:8">
      <c r="A445">
        <f>IFERROR(__xludf.DUMMYFUNCTION("""COMPUTED_VALUE"""),"13.2 Findings at the Health Facility (Should be answered only on sighting evidence).")</f>
        <v>0</v>
      </c>
      <c r="B445">
        <f>IFERROR(6s</f>
        <v>0</v>
      </c>
      <c r="D445">
        <f>IFERROR(__xludf.DUMMYFUNCTION("""COMPUTED_VALUE"""),"13.2 Findings at the Health Facility (Should be answered only on sighting evidence).")</f>
        <v>0</v>
      </c>
      <c r="H445">
        <f>IFERROR(__xludf.DUMMYFUNCTION("""COMPUTED_VALUE"""),"begin_group")</f>
        <v>0</v>
      </c>
    </row>
    <row r="446" spans="1:8">
      <c r="A446">
        <f>IFERROR(__xludf.DUMMYFUNCTION("""COMPUTED_VALUE"""),"3. Does the Health Facility have updated REW Microplan?")</f>
        <v>0</v>
      </c>
      <c r="B446">
        <f>IFERROR(7t</f>
        <v>0</v>
      </c>
      <c r="D446">
        <f>IFERROR(__xludf.DUMMYFUNCTION("""COMPUTED_VALUE"""),"3. Does the Health Facility have updated REW Microplan?")</f>
        <v>0</v>
      </c>
      <c r="H446">
        <f>IFERROR(__xludf.DUMMYFUNCTION("""COMPUTED_VALUE"""),"select_one yes1_no0")</f>
        <v>0</v>
      </c>
    </row>
    <row r="447" spans="1:8">
      <c r="A447">
        <f>IFERROR(__xludf.DUMMYFUNCTION("""COMPUTED_VALUE"""),"4. Does the Health Facility have updated Immunization section plan?")</f>
        <v>0</v>
      </c>
      <c r="B447">
        <f>IFERROR(0c</f>
        <v>0</v>
      </c>
      <c r="D447">
        <f>IFERROR(__xludf.DUMMYFUNCTION("""COMPUTED_VALUE"""),"4. Does the Health Facility have updated Immunization section plan?")</f>
        <v>0</v>
      </c>
      <c r="H447">
        <f>IFERROR(__xludf.DUMMYFUNCTION("""COMPUTED_VALUE"""),"select_one yes1_no0")</f>
        <v>0</v>
      </c>
    </row>
    <row r="448" spans="1:8">
      <c r="A448">
        <f>IFERROR(__xludf.DUMMYFUNCTION("""COMPUTED_VALUE"""),"5. Does the HF Implement all Immunization session plan both outreach and fixed?")</f>
        <v>0</v>
      </c>
      <c r="B448">
        <f>IFERROR(4s</f>
        <v>0</v>
      </c>
      <c r="D448">
        <f>IFERROR(__xludf.DUMMYFUNCTION("""COMPUTED_VALUE"""),"5. Does the HF Implement all Immunization session plan both outreach and fixed?")</f>
        <v>0</v>
      </c>
      <c r="H448">
        <f>IFERROR(__xludf.DUMMYFUNCTION("""COMPUTED_VALUE"""),"select_one yes2_no0")</f>
        <v>0</v>
      </c>
    </row>
    <row r="449" spans="1:8">
      <c r="A449">
        <f>IFERROR(__xludf.DUMMYFUNCTION("""COMPUTED_VALUE"""),"6. Were all session planned for last month conducted?")</f>
        <v>0</v>
      </c>
      <c r="B449">
        <f>IFERROR(0y</f>
        <v>0</v>
      </c>
      <c r="D449">
        <f>IFERROR(__xludf.DUMMYFUNCTION("""COMPUTED_VALUE"""),"6. Were all session planned for last month conducted?")</f>
        <v>0</v>
      </c>
      <c r="H449">
        <f>IFERROR(__xludf.DUMMYFUNCTION("""COMPUTED_VALUE"""),"select_one yes1_no0")</f>
        <v>0</v>
      </c>
    </row>
    <row r="450" spans="1:8">
      <c r="A450">
        <f>IFERROR(__xludf.DUMMYFUNCTION("""COMPUTED_VALUE"""),"7. Does the HF have an updated RI monitoring chart")</f>
        <v>0</v>
      </c>
      <c r="B450">
        <f>IFERROR(5U</f>
        <v>0</v>
      </c>
      <c r="D450">
        <f>IFERROR(__xludf.DUMMYFUNCTION("""COMPUTED_VALUE"""),"7. Does the HF have an updated RI monitoring chart")</f>
        <v>0</v>
      </c>
      <c r="H450">
        <f>IFERROR(__xludf.DUMMYFUNCTION("""COMPUTED_VALUE"""),"select_one yes1_no0")</f>
        <v>0</v>
      </c>
    </row>
    <row r="451" spans="1:8">
      <c r="A451">
        <f>IFERROR(__xludf.DUMMYFUNCTION("""COMPUTED_VALUE"""),"8. Does the health facility have electrical / Solar cold chain equipment (refrigerator, solar etc.) to store vaccines?")</f>
        <v>0</v>
      </c>
      <c r="B451">
        <f>IFERROR(6o</f>
        <v>0</v>
      </c>
      <c r="D451">
        <f>IFERROR(__xludf.DUMMYFUNCTION("""COMPUTED_VALUE"""),"8. Does the health facility have electrical / Solar cold chain equipment (refrigerator, solar etc.) to store vaccines?")</f>
        <v>0</v>
      </c>
      <c r="H451">
        <f>IFERROR(__xludf.DUMMYFUNCTION("""COMPUTED_VALUE"""),"select_one yes1_no0")</f>
        <v>0</v>
      </c>
    </row>
    <row r="452" spans="1:8">
      <c r="A452">
        <f>IFERROR(__xludf.DUMMYFUNCTION("""COMPUTED_VALUE"""),"9. Is the cold chain equipment fully functional,")</f>
        <v>0</v>
      </c>
      <c r="B452">
        <f>IFERROR(5G</f>
        <v>0</v>
      </c>
      <c r="D452">
        <f>IFERROR(__xludf.DUMMYFUNCTION("""COMPUTED_VALUE"""),"9. Is the cold chain equipment fully functional,")</f>
        <v>0</v>
      </c>
      <c r="H452">
        <f>IFERROR(__xludf.DUMMYFUNCTION("""COMPUTED_VALUE"""),"select_one yes1_no0")</f>
        <v>0</v>
      </c>
    </row>
    <row r="453" spans="1:8">
      <c r="A453">
        <f>IFERROR(__xludf.DUMMYFUNCTION("""COMPUTED_VALUE"""),"10. is there a temperature chart regularly maintained and updated on each of the equipment")</f>
        <v>0</v>
      </c>
      <c r="B453">
        <f>IFERROR(9G</f>
        <v>0</v>
      </c>
      <c r="D453">
        <f>IFERROR(__xludf.DUMMYFUNCTION("""COMPUTED_VALUE"""),"10. is there a temperature chart regularly maintained and updated on each of the equipment")</f>
        <v>0</v>
      </c>
      <c r="H453">
        <f>IFERROR(__xludf.DUMMYFUNCTION("""COMPUTED_VALUE"""),"select_one yes1_no0")</f>
        <v>0</v>
      </c>
    </row>
    <row r="454" spans="1:8">
      <c r="A454">
        <f>IFERROR(__xludf.DUMMYFUNCTION("""COMPUTED_VALUE"""),"11. are the vaccines stored properly inside the equipment")</f>
        <v>0</v>
      </c>
      <c r="B454">
        <f>IFERROR(4h</f>
        <v>0</v>
      </c>
      <c r="D454">
        <f>IFERROR(__xludf.DUMMYFUNCTION("""COMPUTED_VALUE"""),"11. are the vaccines stored properly inside the equipment")</f>
        <v>0</v>
      </c>
      <c r="H454">
        <f>IFERROR(__xludf.DUMMYFUNCTION("""COMPUTED_VALUE"""),"select_one yes1_no0")</f>
        <v>0</v>
      </c>
    </row>
    <row r="455" spans="1:8">
      <c r="A455">
        <f>IFERROR(__xludf.DUMMYFUNCTION("""COMPUTED_VALUE"""),"12. Does the health facility have an updated vaccine ledger?")</f>
        <v>0</v>
      </c>
      <c r="B455">
        <f>IFERROR(1Y</f>
        <v>0</v>
      </c>
      <c r="D455">
        <f>IFERROR(__xludf.DUMMYFUNCTION("""COMPUTED_VALUE"""),"12. Does the health facility have an updated vaccine ledger?")</f>
        <v>0</v>
      </c>
      <c r="H455">
        <f>IFERROR(__xludf.DUMMYFUNCTION("""COMPUTED_VALUE"""),"select_one yes1_no0")</f>
        <v>0</v>
      </c>
    </row>
    <row r="456" spans="1:8">
      <c r="A456">
        <f>IFERROR(__xludf.DUMMYFUNCTION("""COMPUTED_VALUE"""),"13. Is there a waste disposable system in the HF or Plan to dispose waste appropriately")</f>
        <v>0</v>
      </c>
      <c r="B456">
        <f>IFERROR(4p</f>
        <v>0</v>
      </c>
      <c r="D456">
        <f>IFERROR(__xludf.DUMMYFUNCTION("""COMPUTED_VALUE"""),"13. Is there a waste disposable system in the HF or Plan to dispose waste appropriately")</f>
        <v>0</v>
      </c>
      <c r="H456">
        <f>IFERROR(__xludf.DUMMYFUNCTION("""COMPUTED_VALUE"""),"select_one yes1_no0")</f>
        <v>0</v>
      </c>
    </row>
    <row r="457" spans="1:8">
      <c r="A457">
        <f>IFERROR(__xludf.DUMMYFUNCTION("""COMPUTED_VALUE"""),"14. Has the Health facility received timely funding for RI (in last 3 months)")</f>
        <v>0</v>
      </c>
      <c r="B457">
        <f>IFERROR(0h</f>
        <v>0</v>
      </c>
      <c r="D457">
        <f>IFERROR(__xludf.DUMMYFUNCTION("""COMPUTED_VALUE"""),"14. Has the Health facility received timely funding for RI (in last 3 months)")</f>
        <v>0</v>
      </c>
      <c r="H457">
        <f>IFERROR(__xludf.DUMMYFUNCTION("""COMPUTED_VALUE"""),"select_one yes1_no0")</f>
        <v>0</v>
      </c>
    </row>
    <row r="458" spans="1:8">
      <c r="A458">
        <f>IFERROR(__xludf.DUMMYFUNCTION("""COMPUTED_VALUE"""),"15. Is there a functional Village Development committee (VDC)")</f>
        <v>0</v>
      </c>
      <c r="B458">
        <f>IFERROR(9L</f>
        <v>0</v>
      </c>
      <c r="D458">
        <f>IFERROR(__xludf.DUMMYFUNCTION("""COMPUTED_VALUE"""),"15. Is there a functional Village Development committee (VDC)")</f>
        <v>0</v>
      </c>
      <c r="H458">
        <f>IFERROR(__xludf.DUMMYFUNCTION("""COMPUTED_VALUE"""),"select_one yes1_no0")</f>
        <v>0</v>
      </c>
    </row>
    <row r="459" spans="1:8">
      <c r="A459">
        <f>IFERROR(__xludf.DUMMYFUNCTION("""COMPUTED_VALUE"""),"16. Is there evidence that the community is involved in organizing RI session")</f>
        <v>0</v>
      </c>
      <c r="B459">
        <f>IFERROR(6N</f>
        <v>0</v>
      </c>
      <c r="D459">
        <f>IFERROR(__xludf.DUMMYFUNCTION("""COMPUTED_VALUE"""),"16. Is there evidence that the community is involved in organizing RI session")</f>
        <v>0</v>
      </c>
      <c r="H459">
        <f>IFERROR(__xludf.DUMMYFUNCTION("""COMPUTED_VALUE"""),"select_one yes1_no0")</f>
        <v>0</v>
      </c>
    </row>
    <row r="460" spans="1:8">
      <c r="A460">
        <f>IFERROR(__xludf.DUMMYFUNCTION("""COMPUTED_VALUE"""),"13.2 key comments")</f>
        <v>0</v>
      </c>
      <c r="B460">
        <f>IFERROR(2j</f>
        <v>0</v>
      </c>
      <c r="D460">
        <f>IFERROR(__xludf.DUMMYFUNCTION("""COMPUTED_VALUE"""),"13.2 key comments")</f>
        <v>0</v>
      </c>
      <c r="H460">
        <f>IFERROR(__xludf.DUMMYFUNCTION("""COMPUTED_VALUE"""),"text")</f>
        <v>0</v>
      </c>
    </row>
    <row r="461" spans="1:8">
      <c r="A461">
        <f>IFERROR(__xludf.DUMMYFUNCTION("""COMPUTED_VALUE"""),"13.2 action plan")</f>
        <v>0</v>
      </c>
      <c r="B461">
        <f>IFERROR(7x</f>
        <v>0</v>
      </c>
      <c r="D461">
        <f>IFERROR(__xludf.DUMMYFUNCTION("""COMPUTED_VALUE"""),"13.2 action plan")</f>
        <v>0</v>
      </c>
      <c r="H461">
        <f>IFERROR(__xludf.DUMMYFUNCTION("""COMPUTED_VALUE"""),"text")</f>
        <v>0</v>
      </c>
    </row>
    <row r="462" spans="1:8">
      <c r="A462">
        <f>IFERROR(__xludf.DUMMYFUNCTION("""COMPUTED_VALUE"""),"")</f>
        <v>0</v>
      </c>
      <c r="B462">
        <f>IFERROR(3t</f>
        <v>0</v>
      </c>
      <c r="D462">
        <f>IFERROR(__xludf.DUMMYFUNCTION("""COMPUTED_VALUE"""),"")</f>
        <v>0</v>
      </c>
      <c r="H462">
        <f>IFERROR(__xludf.DUMMYFUNCTION("""COMPUTED_VALUE"""),"calculate")</f>
        <v>0</v>
      </c>
    </row>
    <row r="463" spans="1:8">
      <c r="A463">
        <f>IFERROR(__xludf.DUMMYFUNCTION("""COMPUTED_VALUE"""),"")</f>
        <v>0</v>
      </c>
      <c r="B463">
        <f>IFERROR04W</f>
        <v>0</v>
      </c>
      <c r="D463">
        <f>IFERROR(__xludf.DUMMYFUNCTION("""COMPUTED_VALUE"""),"")</f>
        <v>0</v>
      </c>
      <c r="H463">
        <f>IFERROR(__xludf.DUMMYFUNCTION("""COMPUTED_VALUE"""),"end_group")</f>
        <v>0</v>
      </c>
    </row>
    <row r="464" spans="1:8">
      <c r="A464">
        <f>IFERROR(__xludf.DUMMYFUNCTION("""COMPUTED_VALUE"""),"13.3 Observation during Routine Immunization Session")</f>
        <v>0</v>
      </c>
      <c r="B464">
        <f>IFERROR(0q</f>
        <v>0</v>
      </c>
      <c r="D464">
        <f>IFERROR(__xludf.DUMMYFUNCTION("""COMPUTED_VALUE"""),"13.3 Observation during Routine Immunization Session")</f>
        <v>0</v>
      </c>
      <c r="H464">
        <f>IFERROR(__xludf.DUMMYFUNCTION("""COMPUTED_VALUE"""),"begin_group")</f>
        <v>0</v>
      </c>
    </row>
    <row r="465" spans="1:8">
      <c r="A465">
        <f>IFERROR(__xludf.DUMMYFUNCTION("""COMPUTED_VALUE"""),"17. Is the planned routine immunization session being conducted?")</f>
        <v>0</v>
      </c>
      <c r="B465">
        <f>IFERROR(4O</f>
        <v>0</v>
      </c>
      <c r="D465">
        <f>IFERROR(__xludf.DUMMYFUNCTION("""COMPUTED_VALUE"""),"17. Is the planned routine immunization session being conducted?")</f>
        <v>0</v>
      </c>
      <c r="H465">
        <f>IFERROR(__xludf.DUMMYFUNCTION("""COMPUTED_VALUE"""),"select_one yes1_no0")</f>
        <v>0</v>
      </c>
    </row>
    <row r="466" spans="1:8">
      <c r="A466">
        <f>IFERROR(__xludf.DUMMYFUNCTION("""COMPUTED_VALUE"""),"18. Has the health worker, providing services been formally trained in Routine Immunization ?")</f>
        <v>0</v>
      </c>
      <c r="B466">
        <f>IFERROR(1h</f>
        <v>0</v>
      </c>
      <c r="D466">
        <f>IFERROR(__xludf.DUMMYFUNCTION("""COMPUTED_VALUE"""),"18. Has the health worker, providing services been formally trained in Routine Immunization ?")</f>
        <v>0</v>
      </c>
      <c r="H466">
        <f>IFERROR(__xludf.DUMMYFUNCTION("""COMPUTED_VALUE"""),"select_one yes1_no0")</f>
        <v>0</v>
      </c>
    </row>
    <row r="467" spans="1:8">
      <c r="A467">
        <f>IFERROR(__xludf.DUMMYFUNCTION("""COMPUTED_VALUE"""),"19. Does the health worker know the expected number of target age children for this particular session?")</f>
        <v>0</v>
      </c>
      <c r="B467">
        <f>IFERROR(8x</f>
        <v>0</v>
      </c>
      <c r="D467">
        <f>IFERROR(__xludf.DUMMYFUNCTION("""COMPUTED_VALUE"""),"19. Does the health worker know the expected number of target age children for this particular session?")</f>
        <v>0</v>
      </c>
      <c r="H467">
        <f>IFERROR(__xludf.DUMMYFUNCTION("""COMPUTED_VALUE"""),"select_one yes1_no0")</f>
        <v>0</v>
      </c>
    </row>
    <row r="468" spans="1:8">
      <c r="A468">
        <f>IFERROR(__xludf.DUMMYFUNCTION("""COMPUTED_VALUE"""),"20. Is the health worker using the right diluents for each of vaccine administered (BCG, Measles, YF)")</f>
        <v>0</v>
      </c>
      <c r="B468">
        <f>IFERROR(2q</f>
        <v>0</v>
      </c>
      <c r="D468">
        <f>IFERROR(__xludf.DUMMYFUNCTION("""COMPUTED_VALUE"""),"20. Is the health worker using the right diluents for each of vaccine administered (BCG, Measles, YF)")</f>
        <v>0</v>
      </c>
      <c r="H468">
        <f>IFERROR(__xludf.DUMMYFUNCTION("""COMPUTED_VALUE"""),"select_one yes1_no0")</f>
        <v>0</v>
      </c>
    </row>
    <row r="469" spans="1:8">
      <c r="A469">
        <f>IFERROR(__xludf.DUMMYFUNCTION("""COMPUTED_VALUE"""),"21. Does Health Worker give the vaccine correctly i.e. at the correct site, using correct route and with correct dose")</f>
        <v>0</v>
      </c>
      <c r="B469">
        <f>IFERROR(5j</f>
        <v>0</v>
      </c>
      <c r="D469">
        <f>IFERROR(__xludf.DUMMYFUNCTION("""COMPUTED_VALUE"""),"21. Does Health Worker give the vaccine correctly i.e. at the correct site, using correct route and with correct dose")</f>
        <v>0</v>
      </c>
      <c r="H469">
        <f>IFERROR(__xludf.DUMMYFUNCTION("""COMPUTED_VALUE"""),"select_one yes1_no0")</f>
        <v>0</v>
      </c>
    </row>
    <row r="470" spans="1:8">
      <c r="A470">
        <f>IFERROR(__xludf.DUMMYFUNCTION("""COMPUTED_VALUE"""),"22. Does Health Worker use only one syringe/needle for each dose of antigen given")</f>
        <v>0</v>
      </c>
      <c r="B470">
        <f>IFERROR(1o</f>
        <v>0</v>
      </c>
      <c r="D470">
        <f>IFERROR(__xludf.DUMMYFUNCTION("""COMPUTED_VALUE"""),"22. Does Health Worker use only one syringe/needle for each dose of antigen given")</f>
        <v>0</v>
      </c>
      <c r="H470">
        <f>IFERROR(__xludf.DUMMYFUNCTION("""COMPUTED_VALUE"""),"select_one yes1_no0")</f>
        <v>0</v>
      </c>
    </row>
    <row r="471" spans="1:8">
      <c r="A471">
        <f>IFERROR(__xludf.DUMMYFUNCTION("""COMPUTED_VALUE"""),"23. Does Health Worker dispose of used syringes / needle into safety box immediately")</f>
        <v>0</v>
      </c>
      <c r="B471">
        <f>IFERROR(6Q</f>
        <v>0</v>
      </c>
      <c r="D471">
        <f>IFERROR(__xludf.DUMMYFUNCTION("""COMPUTED_VALUE"""),"23. Does Health Worker dispose of used syringes / needle into safety box immediately")</f>
        <v>0</v>
      </c>
      <c r="H471">
        <f>IFERROR(__xludf.DUMMYFUNCTION("""COMPUTED_VALUE"""),"select_one yes1_no0")</f>
        <v>0</v>
      </c>
    </row>
    <row r="472" spans="1:8">
      <c r="A472">
        <f>IFERROR(__xludf.DUMMYFUNCTION("""COMPUTED_VALUE"""),"24. Does health worker tally each vaccine given correctly ?")</f>
        <v>0</v>
      </c>
      <c r="B472">
        <f>IFERROR(5G</f>
        <v>0</v>
      </c>
      <c r="D472">
        <f>IFERROR(__xludf.DUMMYFUNCTION("""COMPUTED_VALUE"""),"24. Does health worker tally each vaccine given correctly ?")</f>
        <v>0</v>
      </c>
      <c r="H472">
        <f>IFERROR(__xludf.DUMMYFUNCTION("""COMPUTED_VALUE"""),"select_one yes1_no0")</f>
        <v>0</v>
      </c>
    </row>
    <row r="473" spans="1:8">
      <c r="A473">
        <f>IFERROR(__xludf.DUMMYFUNCTION("""COMPUTED_VALUE"""),"25. Does health worker record on the child health / vaccination card correctly?")</f>
        <v>0</v>
      </c>
      <c r="B473">
        <f>IFERROR(5M</f>
        <v>0</v>
      </c>
      <c r="D473">
        <f>IFERROR(__xludf.DUMMYFUNCTION("""COMPUTED_VALUE"""),"25. Does health worker record on the child health / vaccination card correctly?")</f>
        <v>0</v>
      </c>
      <c r="H473">
        <f>IFERROR(__xludf.DUMMYFUNCTION("""COMPUTED_VALUE"""),"select_one yes1_no0")</f>
        <v>0</v>
      </c>
    </row>
    <row r="474" spans="1:8">
      <c r="A474">
        <f>IFERROR(__xludf.DUMMYFUNCTION("""COMPUTED_VALUE"""),"26. Does health worker provide the 6 key messages to parent / caregiver correctly ")</f>
        <v>0</v>
      </c>
      <c r="B474">
        <f>IFERROR(4Y</f>
        <v>0</v>
      </c>
      <c r="D474">
        <f>IFERROR(__xludf.DUMMYFUNCTION("""COMPUTED_VALUE"""),"26. Does health worker provide the 6 key messages to parent / caregiver correctly ")</f>
        <v>0</v>
      </c>
      <c r="H474">
        <f>IFERROR(__xludf.DUMMYFUNCTION("""COMPUTED_VALUE"""),"select_one yes1_no0")</f>
        <v>0</v>
      </c>
    </row>
    <row r="475" spans="1:8">
      <c r="A475">
        <f>IFERROR(__xludf.DUMMYFUNCTION("""COMPUTED_VALUE"""),"27. Does health worker know definition of AEFI? (Adverse events following immunization)")</f>
        <v>0</v>
      </c>
      <c r="B475">
        <f>IFERROR(6H</f>
        <v>0</v>
      </c>
      <c r="D475">
        <f>IFERROR(__xludf.DUMMYFUNCTION("""COMPUTED_VALUE"""),"27. Does health worker know definition of AEFI? (Adverse events following immunization)")</f>
        <v>0</v>
      </c>
      <c r="H475">
        <f>IFERROR(__xludf.DUMMYFUNCTION("""COMPUTED_VALUE"""),"select_one yes1_no0")</f>
        <v>0</v>
      </c>
    </row>
    <row r="476" spans="1:8">
      <c r="A476">
        <f>IFERROR(__xludf.DUMMYFUNCTION("""COMPUTED_VALUE"""),"28. Has health worker recorded any AEFI in the last 3 months?")</f>
        <v>0</v>
      </c>
      <c r="B476">
        <f>IFERROR(0S</f>
        <v>0</v>
      </c>
      <c r="D476">
        <f>IFERROR(__xludf.DUMMYFUNCTION("""COMPUTED_VALUE"""),"28. Has health worker recorded any AEFI in the last 3 months?")</f>
        <v>0</v>
      </c>
      <c r="H476">
        <f>IFERROR(__xludf.DUMMYFUNCTION("""COMPUTED_VALUE"""),"select_one yes1_no0")</f>
        <v>0</v>
      </c>
    </row>
    <row r="477" spans="1:8">
      <c r="A477">
        <f>IFERROR(__xludf.DUMMYFUNCTION("""COMPUTED_VALUE"""),"29. Are there any stock out of any of the antigens in the last 3 months?")</f>
        <v>0</v>
      </c>
      <c r="B477">
        <f>IFERROR(5T</f>
        <v>0</v>
      </c>
      <c r="D477">
        <f>IFERROR(__xludf.DUMMYFUNCTION("""COMPUTED_VALUE"""),"29. Are there any stock out of any of the antigens in the last 3 months?")</f>
        <v>0</v>
      </c>
      <c r="H477">
        <f>IFERROR(__xludf.DUMMYFUNCTION("""COMPUTED_VALUE"""),"select_one yes1_no0")</f>
        <v>0</v>
      </c>
    </row>
    <row r="478" spans="1:8">
      <c r="A478">
        <f>IFERROR(__xludf.DUMMYFUNCTION("""COMPUTED_VALUE"""),"30. Are any other products or services being provided together with RI session?")</f>
        <v>0</v>
      </c>
      <c r="B478">
        <f>IFERROR(4c</f>
        <v>0</v>
      </c>
      <c r="D478">
        <f>IFERROR(__xludf.DUMMYFUNCTION("""COMPUTED_VALUE"""),"30. Are any other products or services being provided together with RI session?")</f>
        <v>0</v>
      </c>
      <c r="H478">
        <f>IFERROR(__xludf.DUMMYFUNCTION("""COMPUTED_VALUE"""),"select_one yes1_no0")</f>
        <v>0</v>
      </c>
    </row>
    <row r="479" spans="1:8">
      <c r="A479">
        <f>IFERROR(__xludf.DUMMYFUNCTION("""COMPUTED_VALUE"""),"13.3 key comments")</f>
        <v>0</v>
      </c>
      <c r="B479">
        <f>IFERROR(7u</f>
        <v>0</v>
      </c>
      <c r="D479">
        <f>IFERROR(__xludf.DUMMYFUNCTION("""COMPUTED_VALUE"""),"13.3 key comments")</f>
        <v>0</v>
      </c>
      <c r="H479">
        <f>IFERROR(__xludf.DUMMYFUNCTION("""COMPUTED_VALUE"""),"text")</f>
        <v>0</v>
      </c>
    </row>
    <row r="480" spans="1:8">
      <c r="A480">
        <f>IFERROR(__xludf.DUMMYFUNCTION("""COMPUTED_VALUE"""),"13.3 action plan")</f>
        <v>0</v>
      </c>
      <c r="B480">
        <f>IFERROR(2i</f>
        <v>0</v>
      </c>
      <c r="D480">
        <f>IFERROR(__xludf.DUMMYFUNCTION("""COMPUTED_VALUE"""),"13.3 action plan")</f>
        <v>0</v>
      </c>
      <c r="H480">
        <f>IFERROR(__xludf.DUMMYFUNCTION("""COMPUTED_VALUE"""),"text")</f>
        <v>0</v>
      </c>
    </row>
    <row r="481" spans="1:8">
      <c r="A481">
        <f>IFERROR(__xludf.DUMMYFUNCTION("""COMPUTED_VALUE"""),"")</f>
        <v>0</v>
      </c>
      <c r="B481">
        <f>IFERROR(6w</f>
        <v>0</v>
      </c>
      <c r="D481">
        <f>IFERROR(__xludf.DUMMYFUNCTION("""COMPUTED_VALUE"""),"")</f>
        <v>0</v>
      </c>
      <c r="H481">
        <f>IFERROR(__xludf.DUMMYFUNCTION("""COMPUTED_VALUE"""),"calculate")</f>
        <v>0</v>
      </c>
    </row>
    <row r="482" spans="1:8">
      <c r="A482">
        <f>IFERROR(__xludf.DUMMYFUNCTION("""COMPUTED_VALUE"""),"")</f>
        <v>0</v>
      </c>
      <c r="B482">
        <f>IFERROR01a</f>
        <v>0</v>
      </c>
      <c r="D482">
        <f>IFERROR(__xludf.DUMMYFUNCTION("""COMPUTED_VALUE"""),"")</f>
        <v>0</v>
      </c>
      <c r="H482">
        <f>IFERROR(__xludf.DUMMYFUNCTION("""COMPUTED_VALUE"""),"end_group")</f>
        <v>0</v>
      </c>
    </row>
    <row r="483" spans="1:8">
      <c r="A483">
        <f>IFERROR(__xludf.DUMMYFUNCTION("""COMPUTED_VALUE"""),"13.4 COLD CHAIN SYSTEM")</f>
        <v>0</v>
      </c>
      <c r="B483">
        <f>IFERROR(4E</f>
        <v>0</v>
      </c>
      <c r="D483">
        <f>IFERROR(__xludf.DUMMYFUNCTION("""COMPUTED_VALUE"""),"13.4 COLD CHAIN SYSTEM")</f>
        <v>0</v>
      </c>
      <c r="H483">
        <f>IFERROR(__xludf.DUMMYFUNCTION("""COMPUTED_VALUE"""),"begin_group")</f>
        <v>0</v>
      </c>
    </row>
    <row r="484" spans="1:8">
      <c r="A484">
        <f>IFERROR(__xludf.DUMMYFUNCTION("""COMPUTED_VALUE"""),"31. Is there an updated cold chain inventory of all cold chain in the H/F")</f>
        <v>0</v>
      </c>
      <c r="B484">
        <f>IFERROR(3i</f>
        <v>0</v>
      </c>
      <c r="D484">
        <f>IFERROR(__xludf.DUMMYFUNCTION("""COMPUTED_VALUE"""),"31. Is there an updated cold chain inventory of all cold chain in the H/F")</f>
        <v>0</v>
      </c>
      <c r="H484">
        <f>IFERROR(__xludf.DUMMYFUNCTION("""COMPUTED_VALUE"""),"select_one yes1_no0")</f>
        <v>0</v>
      </c>
    </row>
    <row r="485" spans="1:8">
      <c r="A485">
        <f>IFERROR(__xludf.DUMMYFUNCTION("""COMPUTED_VALUE"""),"32. Are there functional refridgerators or cold chain equipment at the LGA?")</f>
        <v>0</v>
      </c>
      <c r="B485">
        <f>IFERROR(8N</f>
        <v>0</v>
      </c>
      <c r="D485">
        <f>IFERROR(__xludf.DUMMYFUNCTION("""COMPUTED_VALUE"""),"32. Are there functional refridgerators or cold chain equipment at the LGA?")</f>
        <v>0</v>
      </c>
      <c r="H485">
        <f>IFERROR(__xludf.DUMMYFUNCTION("""COMPUTED_VALUE"""),"select_one yes2_no0")</f>
        <v>0</v>
      </c>
    </row>
    <row r="486" spans="1:8">
      <c r="A486">
        <f>IFERROR(__xludf.DUMMYFUNCTION("""COMPUTED_VALUE"""),"33. Are all freezers, refridgerators and other cold chain equipment routinely maintained?")</f>
        <v>0</v>
      </c>
      <c r="B486">
        <f>IFERROR(3l</f>
        <v>0</v>
      </c>
      <c r="D486">
        <f>IFERROR(__xludf.DUMMYFUNCTION("""COMPUTED_VALUE"""),"33. Are all freezers, refridgerators and other cold chain equipment routinely maintained?")</f>
        <v>0</v>
      </c>
      <c r="H486">
        <f>IFERROR(__xludf.DUMMYFUNCTION("""COMPUTED_VALUE"""),"select_one yes1_no0")</f>
        <v>0</v>
      </c>
    </row>
    <row r="487" spans="1:8">
      <c r="A487">
        <f>IFERROR(__xludf.DUMMYFUNCTION("""COMPUTED_VALUE"""),"34. Is pentavalent vaccine stored in the right compartment in the refridgerator?")</f>
        <v>0</v>
      </c>
      <c r="B487">
        <f>IFERROR(8I</f>
        <v>0</v>
      </c>
      <c r="D487">
        <f>IFERROR(__xludf.DUMMYFUNCTION("""COMPUTED_VALUE"""),"34. Is pentavalent vaccine stored in the right compartment in the refridgerator?")</f>
        <v>0</v>
      </c>
      <c r="H487">
        <f>IFERROR(__xludf.DUMMYFUNCTION("""COMPUTED_VALUE"""),"select_one yes1_no0")</f>
        <v>0</v>
      </c>
    </row>
    <row r="488" spans="1:8">
      <c r="A488">
        <f>IFERROR(__xludf.DUMMYFUNCTION("""COMPUTED_VALUE"""),"35. Is the pentavalent vaccine kept at the temperature between 2°c and 8°c?")</f>
        <v>0</v>
      </c>
      <c r="B488">
        <f>IFERROR(1S</f>
        <v>0</v>
      </c>
      <c r="D488">
        <f>IFERROR(__xludf.DUMMYFUNCTION("""COMPUTED_VALUE"""),"35. Is the pentavalent vaccine kept at the temperature between 2°c and 8°c?")</f>
        <v>0</v>
      </c>
      <c r="H488">
        <f>IFERROR(__xludf.DUMMYFUNCTION("""COMPUTED_VALUE"""),"select_one yes1_no0")</f>
        <v>0</v>
      </c>
    </row>
    <row r="489" spans="1:8">
      <c r="A489">
        <f>IFERROR(__xludf.DUMMYFUNCTION("""COMPUTED_VALUE"""),"36. Is there a chemical temperature indicator in the LGA?")</f>
        <v>0</v>
      </c>
      <c r="B489">
        <f>IFERROR(5x</f>
        <v>0</v>
      </c>
      <c r="D489">
        <f>IFERROR(__xludf.DUMMYFUNCTION("""COMPUTED_VALUE"""),"36. Is there a chemical temperature indicator in the LGA?")</f>
        <v>0</v>
      </c>
      <c r="H489">
        <f>IFERROR(__xludf.DUMMYFUNCTION("""COMPUTED_VALUE"""),"select_one yes1_no0")</f>
        <v>0</v>
      </c>
    </row>
    <row r="490" spans="1:8">
      <c r="A490">
        <f>IFERROR(__xludf.DUMMYFUNCTION("""COMPUTED_VALUE"""),"37. Is there a supportive supervisory plan?")</f>
        <v>0</v>
      </c>
      <c r="B490">
        <f>IFERROR(7q</f>
        <v>0</v>
      </c>
      <c r="D490">
        <f>IFERROR(__xludf.DUMMYFUNCTION("""COMPUTED_VALUE"""),"37. Is there a supportive supervisory plan?")</f>
        <v>0</v>
      </c>
      <c r="H490">
        <f>IFERROR(__xludf.DUMMYFUNCTION("""COMPUTED_VALUE"""),"select_one yes1_no0")</f>
        <v>0</v>
      </c>
    </row>
    <row r="491" spans="1:8">
      <c r="A491">
        <f>IFERROR(__xludf.DUMMYFUNCTION("""COMPUTED_VALUE"""),"38. Is supportive supervision being conducted as planned?")</f>
        <v>0</v>
      </c>
      <c r="B491">
        <f>IFERROR(8h</f>
        <v>0</v>
      </c>
      <c r="D491">
        <f>IFERROR(__xludf.DUMMYFUNCTION("""COMPUTED_VALUE"""),"38. Is supportive supervision being conducted as planned?")</f>
        <v>0</v>
      </c>
      <c r="H491">
        <f>IFERROR(__xludf.DUMMYFUNCTION("""COMPUTED_VALUE"""),"select_one yes1_no0")</f>
        <v>0</v>
      </c>
    </row>
    <row r="492" spans="1:8">
      <c r="A492">
        <f>IFERROR(__xludf.DUMMYFUNCTION("""COMPUTED_VALUE"""),"39. Are there supervisory report with identified action points?")</f>
        <v>0</v>
      </c>
      <c r="B492">
        <f>IFERROR(7k</f>
        <v>0</v>
      </c>
      <c r="D492">
        <f>IFERROR(__xludf.DUMMYFUNCTION("""COMPUTED_VALUE"""),"39. Are there supervisory report with identified action points?")</f>
        <v>0</v>
      </c>
      <c r="H492">
        <f>IFERROR(__xludf.DUMMYFUNCTION("""COMPUTED_VALUE"""),"select_one yes1_no0")</f>
        <v>0</v>
      </c>
    </row>
    <row r="493" spans="1:8">
      <c r="A493">
        <f>IFERROR(__xludf.DUMMYFUNCTION("""COMPUTED_VALUE"""),"13.4 key comments")</f>
        <v>0</v>
      </c>
      <c r="B493">
        <f>IFERROR(5H</f>
        <v>0</v>
      </c>
      <c r="D493">
        <f>IFERROR(__xludf.DUMMYFUNCTION("""COMPUTED_VALUE"""),"13.4 key comments")</f>
        <v>0</v>
      </c>
      <c r="H493">
        <f>IFERROR(__xludf.DUMMYFUNCTION("""COMPUTED_VALUE"""),"text")</f>
        <v>0</v>
      </c>
    </row>
    <row r="494" spans="1:8">
      <c r="A494">
        <f>IFERROR(__xludf.DUMMYFUNCTION("""COMPUTED_VALUE"""),"13.4 action plan")</f>
        <v>0</v>
      </c>
      <c r="B494">
        <f>IFERROR(0e</f>
        <v>0</v>
      </c>
      <c r="D494">
        <f>IFERROR(__xludf.DUMMYFUNCTION("""COMPUTED_VALUE"""),"13.4 action plan")</f>
        <v>0</v>
      </c>
      <c r="H494">
        <f>IFERROR(__xludf.DUMMYFUNCTION("""COMPUTED_VALUE"""),"text")</f>
        <v>0</v>
      </c>
    </row>
    <row r="495" spans="1:8">
      <c r="A495">
        <f>IFERROR(__xludf.DUMMYFUNCTION("""COMPUTED_VALUE"""),"")</f>
        <v>0</v>
      </c>
      <c r="B495">
        <f>IFERROR(5B</f>
        <v>0</v>
      </c>
      <c r="D495">
        <f>IFERROR(__xludf.DUMMYFUNCTION("""COMPUTED_VALUE"""),"")</f>
        <v>0</v>
      </c>
      <c r="H495">
        <f>IFERROR(__xludf.DUMMYFUNCTION("""COMPUTED_VALUE"""),"calculate")</f>
        <v>0</v>
      </c>
    </row>
    <row r="496" spans="1:8">
      <c r="A496">
        <f>IFERROR(__xludf.DUMMYFUNCTION("""COMPUTED_VALUE"""),"")</f>
        <v>0</v>
      </c>
      <c r="B496">
        <f>IFERROR09j</f>
        <v>0</v>
      </c>
      <c r="D496">
        <f>IFERROR(__xludf.DUMMYFUNCTION("""COMPUTED_VALUE"""),"")</f>
        <v>0</v>
      </c>
      <c r="H496">
        <f>IFERROR(__xludf.DUMMYFUNCTION("""COMPUTED_VALUE"""),"end_group")</f>
        <v>0</v>
      </c>
    </row>
    <row r="497" spans="1:8">
      <c r="A497">
        <f>IFERROR(__xludf.DUMMYFUNCTION("""COMPUTED_VALUE"""),"13.5 COMMUNITY LINKAGE")</f>
        <v>0</v>
      </c>
      <c r="B497">
        <f>IFERROR(5y</f>
        <v>0</v>
      </c>
      <c r="D497">
        <f>IFERROR(__xludf.DUMMYFUNCTION("""COMPUTED_VALUE"""),"13.5 COMMUNITY LINKAGE")</f>
        <v>0</v>
      </c>
      <c r="H497">
        <f>IFERROR(__xludf.DUMMYFUNCTION("""COMPUTED_VALUE"""),"begin_group")</f>
        <v>0</v>
      </c>
    </row>
    <row r="498" spans="1:8">
      <c r="A498">
        <f>IFERROR(__xludf.DUMMYFUNCTION("""COMPUTED_VALUE"""),"40. Are there any reports/minutes of meetings between LGA officials and community leaders or other influential people to discuss RI?")</f>
        <v>0</v>
      </c>
      <c r="B498">
        <f>IFERROR(1G</f>
        <v>0</v>
      </c>
      <c r="D498">
        <f>IFERROR(__xludf.DUMMYFUNCTION("""COMPUTED_VALUE"""),"40. Are there any reports/minutes of meetings between LGA officials and community leaders or other influential people to discuss RI?")</f>
        <v>0</v>
      </c>
      <c r="H498">
        <f>IFERROR(__xludf.DUMMYFUNCTION("""COMPUTED_VALUE"""),"select_one yes1_no0")</f>
        <v>0</v>
      </c>
    </row>
    <row r="499" spans="1:8">
      <c r="A499">
        <f>IFERROR(__xludf.DUMMYFUNCTION("""COMPUTED_VALUE"""),"41. Is there evidence of distribution of IEC material to the health facility (see record of names of HFs and the numbers of IEC materials collected)?")</f>
        <v>0</v>
      </c>
      <c r="B499">
        <f>IFERROR(6x</f>
        <v>0</v>
      </c>
      <c r="D499">
        <f>IFERROR(__xludf.DUMMYFUNCTION("""COMPUTED_VALUE"""),"41. Is there evidence of distribution of IEC material to the health facility (see record of names of HFs and the numbers of IEC materials collected)?")</f>
        <v>0</v>
      </c>
      <c r="H499">
        <f>IFERROR(__xludf.DUMMYFUNCTION("""COMPUTED_VALUE"""),"select_one yes1_no0")</f>
        <v>0</v>
      </c>
    </row>
    <row r="500" spans="1:8">
      <c r="A500">
        <f>IFERROR(__xludf.DUMMYFUNCTION("""COMPUTED_VALUE"""),"13.5 key comments")</f>
        <v>0</v>
      </c>
      <c r="B500">
        <f>IFERROR(1U</f>
        <v>0</v>
      </c>
      <c r="D500">
        <f>IFERROR(__xludf.DUMMYFUNCTION("""COMPUTED_VALUE"""),"13.5 key comments")</f>
        <v>0</v>
      </c>
      <c r="H500">
        <f>IFERROR(__xludf.DUMMYFUNCTION("""COMPUTED_VALUE"""),"text")</f>
        <v>0</v>
      </c>
    </row>
    <row r="501" spans="1:8">
      <c r="A501">
        <f>IFERROR(__xludf.DUMMYFUNCTION("""COMPUTED_VALUE"""),"13.5 action plan")</f>
        <v>0</v>
      </c>
      <c r="B501">
        <f>IFERROR(6s</f>
        <v>0</v>
      </c>
      <c r="D501">
        <f>IFERROR(__xludf.DUMMYFUNCTION("""COMPUTED_VALUE"""),"13.5 action plan")</f>
        <v>0</v>
      </c>
      <c r="H501">
        <f>IFERROR(__xludf.DUMMYFUNCTION("""COMPUTED_VALUE"""),"text")</f>
        <v>0</v>
      </c>
    </row>
    <row r="502" spans="1:8">
      <c r="A502">
        <f>IFERROR(__xludf.DUMMYFUNCTION("""COMPUTED_VALUE"""),"")</f>
        <v>0</v>
      </c>
      <c r="B502">
        <f>IFERROR07p</f>
        <v>0</v>
      </c>
      <c r="D502">
        <f>IFERROR(__xludf.DUMMYFUNCTION("""COMPUTED_VALUE"""),"")</f>
        <v>0</v>
      </c>
      <c r="H502">
        <f>IFERROR(__xludf.DUMMYFUNCTION("""COMPUTED_VALUE"""),"end_group")</f>
        <v>0</v>
      </c>
    </row>
    <row r="503" spans="1:8">
      <c r="A503">
        <f>IFERROR(__xludf.DUMMYFUNCTION("""COMPUTED_VALUE"""),"13.6 WASTE MANAGEMENT")</f>
        <v>0</v>
      </c>
      <c r="B503">
        <f>IFERROR(9p</f>
        <v>0</v>
      </c>
      <c r="D503">
        <f>IFERROR(__xludf.DUMMYFUNCTION("""COMPUTED_VALUE"""),"13.6 WASTE MANAGEMENT")</f>
        <v>0</v>
      </c>
      <c r="H503">
        <f>IFERROR(__xludf.DUMMYFUNCTION("""COMPUTED_VALUE"""),"begin_group")</f>
        <v>0</v>
      </c>
    </row>
    <row r="504" spans="1:8">
      <c r="A504">
        <f>IFERROR(__xludf.DUMMYFUNCTION("""COMPUTED_VALUE"""),"42. Does LGA have appropriate waste disposal facility?")</f>
        <v>0</v>
      </c>
      <c r="B504">
        <f>IFERROR(8r</f>
        <v>0</v>
      </c>
      <c r="D504">
        <f>IFERROR(__xludf.DUMMYFUNCTION("""COMPUTED_VALUE"""),"42. Does LGA have appropriate waste disposal facility?")</f>
        <v>0</v>
      </c>
      <c r="H504">
        <f>IFERROR(__xludf.DUMMYFUNCTION("""COMPUTED_VALUE"""),"select_one yes1_no0")</f>
        <v>0</v>
      </c>
    </row>
    <row r="505" spans="1:8">
      <c r="A505">
        <f>IFERROR(__xludf.DUMMYFUNCTION("""COMPUTED_VALUE"""),"43. does the LGA have a waste disposal plan?")</f>
        <v>0</v>
      </c>
      <c r="B505">
        <f>IFERROR(1h</f>
        <v>0</v>
      </c>
      <c r="D505">
        <f>IFERROR(__xludf.DUMMYFUNCTION("""COMPUTED_VALUE"""),"43. does the LGA have a waste disposal plan?")</f>
        <v>0</v>
      </c>
      <c r="H505">
        <f>IFERROR(__xludf.DUMMYFUNCTION("""COMPUTED_VALUE"""),"select_one yes1_no0")</f>
        <v>0</v>
      </c>
    </row>
    <row r="506" spans="1:8">
      <c r="A506">
        <f>IFERROR(__xludf.DUMMYFUNCTION("""COMPUTED_VALUE"""),"13.6 key comments")</f>
        <v>0</v>
      </c>
      <c r="B506">
        <f>IFERROR(6p</f>
        <v>0</v>
      </c>
      <c r="D506">
        <f>IFERROR(__xludf.DUMMYFUNCTION("""COMPUTED_VALUE"""),"13.6 key comments")</f>
        <v>0</v>
      </c>
      <c r="H506">
        <f>IFERROR(__xludf.DUMMYFUNCTION("""COMPUTED_VALUE"""),"text")</f>
        <v>0</v>
      </c>
    </row>
    <row r="507" spans="1:8">
      <c r="A507">
        <f>IFERROR(__xludf.DUMMYFUNCTION("""COMPUTED_VALUE"""),"13.6 action plan")</f>
        <v>0</v>
      </c>
      <c r="B507">
        <f>IFERROR(8y</f>
        <v>0</v>
      </c>
      <c r="D507">
        <f>IFERROR(__xludf.DUMMYFUNCTION("""COMPUTED_VALUE"""),"13.6 action plan")</f>
        <v>0</v>
      </c>
      <c r="H507">
        <f>IFERROR(__xludf.DUMMYFUNCTION("""COMPUTED_VALUE"""),"text")</f>
        <v>0</v>
      </c>
    </row>
    <row r="508" spans="1:8">
      <c r="A508">
        <f>IFERROR(__xludf.DUMMYFUNCTION("""COMPUTED_VALUE"""),"")</f>
        <v>0</v>
      </c>
      <c r="B508">
        <f>IFERROR01n</f>
        <v>0</v>
      </c>
      <c r="D508">
        <f>IFERROR(__xludf.DUMMYFUNCTION("""COMPUTED_VALUE"""),"")</f>
        <v>0</v>
      </c>
      <c r="H508">
        <f>IFERROR(__xludf.DUMMYFUNCTION("""COMPUTED_VALUE"""),"end_group")</f>
        <v>0</v>
      </c>
    </row>
    <row r="509" spans="1:8">
      <c r="A509">
        <f>IFERROR(__xludf.DUMMYFUNCTION("""COMPUTED_VALUE"""),"")</f>
        <v>0</v>
      </c>
      <c r="B509">
        <f>IFERROR(8c</f>
        <v>0</v>
      </c>
      <c r="D509">
        <f>IFERROR(__xludf.DUMMYFUNCTION("""COMPUTED_VALUE"""),"")</f>
        <v>0</v>
      </c>
      <c r="H509">
        <f>IFERROR(__xludf.DUMMYFUNCTION("""COMPUTED_VALUE"""),"calculate")</f>
        <v>0</v>
      </c>
    </row>
    <row r="510" spans="1:8">
      <c r="A510">
        <f>IFERROR(__xludf.DUMMYFUNCTION("""COMPUTED_VALUE"""),"")</f>
        <v>0</v>
      </c>
      <c r="B510">
        <f>IFERROR01l</f>
        <v>0</v>
      </c>
      <c r="D510">
        <f>IFERROR(__xludf.DUMMYFUNCTION("""COMPUTED_VALUE"""),"")</f>
        <v>0</v>
      </c>
      <c r="H510">
        <f>IFERROR(__xludf.DUMMYFUNCTION("""COMPUTED_VALUE"""),"end_group")</f>
        <v>0</v>
      </c>
    </row>
    <row r="511" spans="1:8">
      <c r="A511">
        <f>IFERROR(__xludf.DUMMYFUNCTION("""COMPUTED_VALUE"""),"Section 14. CHILD HEALTH AND NUTRITION")</f>
        <v>0</v>
      </c>
      <c r="B511">
        <f>IFERROR(9b</f>
        <v>0</v>
      </c>
      <c r="D511">
        <f>IFERROR(__xludf.DUMMYFUNCTION("""COMPUTED_VALUE"""),"Section 14. CHILD HEALTH AND NUTRITION")</f>
        <v>0</v>
      </c>
      <c r="H511">
        <f>IFERROR(__xludf.DUMMYFUNCTION("""COMPUTED_VALUE"""),"begin_group")</f>
        <v>0</v>
      </c>
    </row>
    <row r="512" spans="1:8">
      <c r="A512">
        <f>IFERROR(__xludf.DUMMYFUNCTION("""COMPUTED_VALUE"""),"1. Service Provision")</f>
        <v>0</v>
      </c>
      <c r="B512">
        <f>IFERROR(1t</f>
        <v>0</v>
      </c>
      <c r="D512">
        <f>IFERROR(__xludf.DUMMYFUNCTION("""COMPUTED_VALUE"""),"1. Service Provision")</f>
        <v>0</v>
      </c>
      <c r="H512">
        <f>IFERROR(__xludf.DUMMYFUNCTION("""COMPUTED_VALUE"""),"note")</f>
        <v>0</v>
      </c>
    </row>
    <row r="513" spans="1:8">
      <c r="A513">
        <f>IFERROR(__xludf.DUMMYFUNCTION("""COMPUTED_VALUE"""),"2. Are staff trained in the management of common childhood illness (IMCI)")</f>
        <v>0</v>
      </c>
      <c r="B513">
        <f>IFERROR(2i</f>
        <v>0</v>
      </c>
      <c r="D513">
        <f>IFERROR(__xludf.DUMMYFUNCTION("""COMPUTED_VALUE"""),"2. Are staff trained in the management of common childhood illness (IMCI)")</f>
        <v>0</v>
      </c>
      <c r="H513">
        <f>IFERROR(__xludf.DUMMYFUNCTION("""COMPUTED_VALUE"""),"select_one yes1_no0")</f>
        <v>0</v>
      </c>
    </row>
    <row r="514" spans="1:8">
      <c r="A514">
        <f>IFERROR(__xludf.DUMMYFUNCTION("""COMPUTED_VALUE"""),"3. How many have been trained/ retrained in the past 2 years?")</f>
        <v>0</v>
      </c>
      <c r="B514">
        <f>IFERROR(3N</f>
        <v>0</v>
      </c>
      <c r="D514">
        <f>IFERROR(__xludf.DUMMYFUNCTION("""COMPUTED_VALUE"""),"3. How many have been trained/ retrained in the past 2 years?")</f>
        <v>0</v>
      </c>
      <c r="H514">
        <f>IFERROR(__xludf.DUMMYFUNCTION("""COMPUTED_VALUE"""),"integer")</f>
        <v>0</v>
      </c>
    </row>
    <row r="515" spans="1:8">
      <c r="A515">
        <f>IFERROR(__xludf.DUMMYFUNCTION("""COMPUTED_VALUE"""),"14.1 ARE STAFF TRAINED IN THE FOLLOWING?:")</f>
        <v>0</v>
      </c>
      <c r="B515">
        <f>IFERROR(4X</f>
        <v>0</v>
      </c>
      <c r="D515">
        <f>IFERROR(__xludf.DUMMYFUNCTION("""COMPUTED_VALUE"""),"14.1 ARE STAFF TRAINED IN THE FOLLOWING?:")</f>
        <v>0</v>
      </c>
      <c r="H515">
        <f>IFERROR(__xludf.DUMMYFUNCTION("""COMPUTED_VALUE"""),"begin_group")</f>
        <v>0</v>
      </c>
    </row>
    <row r="516" spans="1:8">
      <c r="A516">
        <f>IFERROR(__xludf.DUMMYFUNCTION("""COMPUTED_VALUE"""),"4. Counseling of care givers")</f>
        <v>0</v>
      </c>
      <c r="B516">
        <f>IFERROR(4C</f>
        <v>0</v>
      </c>
      <c r="D516">
        <f>IFERROR(__xludf.DUMMYFUNCTION("""COMPUTED_VALUE"""),"4. Counseling of care givers")</f>
        <v>0</v>
      </c>
      <c r="H516">
        <f>IFERROR(__xludf.DUMMYFUNCTION("""COMPUTED_VALUE"""),"select_one yes1_no0")</f>
        <v>0</v>
      </c>
    </row>
    <row r="517" spans="1:8">
      <c r="A517">
        <f>IFERROR(__xludf.DUMMYFUNCTION("""COMPUTED_VALUE"""),"5. Infant and young child feeding")</f>
        <v>0</v>
      </c>
      <c r="B517">
        <f>IFERROR(1X</f>
        <v>0</v>
      </c>
      <c r="D517">
        <f>IFERROR(__xludf.DUMMYFUNCTION("""COMPUTED_VALUE"""),"5. Infant and young child feeding")</f>
        <v>0</v>
      </c>
      <c r="H517">
        <f>IFERROR(__xludf.DUMMYFUNCTION("""COMPUTED_VALUE"""),"select_one yes1_no0")</f>
        <v>0</v>
      </c>
    </row>
    <row r="518" spans="1:8">
      <c r="A518">
        <f>IFERROR(__xludf.DUMMYFUNCTION("""COMPUTED_VALUE"""),"6. Nutrition Education")</f>
        <v>0</v>
      </c>
      <c r="B518">
        <f>IFERROR(4Z</f>
        <v>0</v>
      </c>
      <c r="D518">
        <f>IFERROR(__xludf.DUMMYFUNCTION("""COMPUTED_VALUE"""),"6. Nutrition Education")</f>
        <v>0</v>
      </c>
      <c r="H518">
        <f>IFERROR(__xludf.DUMMYFUNCTION("""COMPUTED_VALUE"""),"select_one yes1_no0")</f>
        <v>0</v>
      </c>
    </row>
    <row r="519" spans="1:8">
      <c r="A519">
        <f>IFERROR(__xludf.DUMMYFUNCTION("""COMPUTED_VALUE"""),"7. Food Demonstration")</f>
        <v>0</v>
      </c>
      <c r="B519">
        <f>IFERROR(3b</f>
        <v>0</v>
      </c>
      <c r="D519">
        <f>IFERROR(__xludf.DUMMYFUNCTION("""COMPUTED_VALUE"""),"7. Food Demonstration")</f>
        <v>0</v>
      </c>
      <c r="H519">
        <f>IFERROR(__xludf.DUMMYFUNCTION("""COMPUTED_VALUE"""),"select_one yes1_no0")</f>
        <v>0</v>
      </c>
    </row>
    <row r="520" spans="1:8">
      <c r="A520">
        <f>IFERROR(__xludf.DUMMYFUNCTION("""COMPUTED_VALUE"""),"8. Growth monitoring and promotion")</f>
        <v>0</v>
      </c>
      <c r="B520">
        <f>IFERROR(7k</f>
        <v>0</v>
      </c>
      <c r="D520">
        <f>IFERROR(__xludf.DUMMYFUNCTION("""COMPUTED_VALUE"""),"8. Growth monitoring and promotion")</f>
        <v>0</v>
      </c>
      <c r="H520">
        <f>IFERROR(__xludf.DUMMYFUNCTION("""COMPUTED_VALUE"""),"select_one yes1_no0")</f>
        <v>0</v>
      </c>
    </row>
    <row r="521" spans="1:8">
      <c r="A521">
        <f>IFERROR(__xludf.DUMMYFUNCTION("""COMPUTED_VALUE"""),"9. Vitamin A supplementation")</f>
        <v>0</v>
      </c>
      <c r="B521">
        <f>IFERROR(0E</f>
        <v>0</v>
      </c>
      <c r="D521">
        <f>IFERROR(__xludf.DUMMYFUNCTION("""COMPUTED_VALUE"""),"9. Vitamin A supplementation")</f>
        <v>0</v>
      </c>
      <c r="H521">
        <f>IFERROR(__xludf.DUMMYFUNCTION("""COMPUTED_VALUE"""),"select_one yes1_no0")</f>
        <v>0</v>
      </c>
    </row>
    <row r="522" spans="1:8">
      <c r="A522">
        <f>IFERROR(__xludf.DUMMYFUNCTION("""COMPUTED_VALUE"""),"10. Deworming")</f>
        <v>0</v>
      </c>
      <c r="B522">
        <f>IFERROR(1D</f>
        <v>0</v>
      </c>
      <c r="D522">
        <f>IFERROR(__xludf.DUMMYFUNCTION("""COMPUTED_VALUE"""),"10. Deworming")</f>
        <v>0</v>
      </c>
      <c r="H522">
        <f>IFERROR(__xludf.DUMMYFUNCTION("""COMPUTED_VALUE"""),"select_one yes1_no0")</f>
        <v>0</v>
      </c>
    </row>
    <row r="523" spans="1:8">
      <c r="A523">
        <f>IFERROR(__xludf.DUMMYFUNCTION("""COMPUTED_VALUE"""),"14.1 key comments")</f>
        <v>0</v>
      </c>
      <c r="B523">
        <f>IFERROR(6q</f>
        <v>0</v>
      </c>
      <c r="D523">
        <f>IFERROR(__xludf.DUMMYFUNCTION("""COMPUTED_VALUE"""),"14.1 key comments")</f>
        <v>0</v>
      </c>
      <c r="H523">
        <f>IFERROR(__xludf.DUMMYFUNCTION("""COMPUTED_VALUE"""),"text")</f>
        <v>0</v>
      </c>
    </row>
    <row r="524" spans="1:8">
      <c r="A524">
        <f>IFERROR(__xludf.DUMMYFUNCTION("""COMPUTED_VALUE"""),"14.1 action plan")</f>
        <v>0</v>
      </c>
      <c r="B524">
        <f>IFERROR(2w</f>
        <v>0</v>
      </c>
      <c r="D524">
        <f>IFERROR(__xludf.DUMMYFUNCTION("""COMPUTED_VALUE"""),"14.1 action plan")</f>
        <v>0</v>
      </c>
      <c r="H524">
        <f>IFERROR(__xludf.DUMMYFUNCTION("""COMPUTED_VALUE"""),"text")</f>
        <v>0</v>
      </c>
    </row>
    <row r="525" spans="1:8">
      <c r="A525">
        <f>IFERROR(__xludf.DUMMYFUNCTION("""COMPUTED_VALUE"""),"")</f>
        <v>0</v>
      </c>
      <c r="B525">
        <f>IFERROR(9w</f>
        <v>0</v>
      </c>
      <c r="D525">
        <f>IFERROR(__xludf.DUMMYFUNCTION("""COMPUTED_VALUE"""),"")</f>
        <v>0</v>
      </c>
      <c r="H525">
        <f>IFERROR(__xludf.DUMMYFUNCTION("""COMPUTED_VALUE"""),"calculate")</f>
        <v>0</v>
      </c>
    </row>
    <row r="526" spans="1:8">
      <c r="A526">
        <f>IFERROR(__xludf.DUMMYFUNCTION("""COMPUTED_VALUE"""),"")</f>
        <v>0</v>
      </c>
      <c r="B526">
        <f>IFERROR01x</f>
        <v>0</v>
      </c>
      <c r="D526">
        <f>IFERROR(__xludf.DUMMYFUNCTION("""COMPUTED_VALUE"""),"")</f>
        <v>0</v>
      </c>
      <c r="H526">
        <f>IFERROR(__xludf.DUMMYFUNCTION("""COMPUTED_VALUE"""),"end_group")</f>
        <v>0</v>
      </c>
    </row>
    <row r="527" spans="1:8">
      <c r="A527">
        <f>IFERROR(__xludf.DUMMYFUNCTION("""COMPUTED_VALUE"""),"14.2 Patient Management")</f>
        <v>0</v>
      </c>
      <c r="B527">
        <f>IFERROR(3r</f>
        <v>0</v>
      </c>
      <c r="D527">
        <f>IFERROR(__xludf.DUMMYFUNCTION("""COMPUTED_VALUE"""),"14.2 Patient Management")</f>
        <v>0</v>
      </c>
      <c r="H527">
        <f>IFERROR(__xludf.DUMMYFUNCTION("""COMPUTED_VALUE"""),"begin_group")</f>
        <v>0</v>
      </c>
    </row>
    <row r="528" spans="1:8">
      <c r="A528">
        <f>IFERROR(__xludf.DUMMYFUNCTION("""COMPUTED_VALUE"""),"11. Are Treatment of children done according to IMCI guidelines?")</f>
        <v>0</v>
      </c>
      <c r="B528">
        <f>IFERROR(5R</f>
        <v>0</v>
      </c>
      <c r="D528">
        <f>IFERROR(__xludf.DUMMYFUNCTION("""COMPUTED_VALUE"""),"11. Are Treatment of children done according to IMCI guidelines?")</f>
        <v>0</v>
      </c>
      <c r="H528">
        <f>IFERROR(__xludf.DUMMYFUNCTION("""COMPUTED_VALUE"""),"select_one yes1_no0")</f>
        <v>0</v>
      </c>
    </row>
    <row r="529" spans="1:8">
      <c r="A529">
        <f>IFERROR(__xludf.DUMMYFUNCTION("""COMPUTED_VALUE"""),"12. Is there continous promotion of Exclusive BreastFeeding (EBF) in the facility?")</f>
        <v>0</v>
      </c>
      <c r="B529">
        <f>IFERROR(0v</f>
        <v>0</v>
      </c>
      <c r="D529">
        <f>IFERROR(__xludf.DUMMYFUNCTION("""COMPUTED_VALUE"""),"12. Is there continous promotion of Exclusive BreastFeeding (EBF) in the facility?")</f>
        <v>0</v>
      </c>
      <c r="H529">
        <f>IFERROR(__xludf.DUMMYFUNCTION("""COMPUTED_VALUE"""),"select_one yes1_no0")</f>
        <v>0</v>
      </c>
    </row>
    <row r="530" spans="1:8">
      <c r="A530">
        <f>IFERROR(__xludf.DUMMYFUNCTION("""COMPUTED_VALUE"""),"13. Is appropriate and adequate complementary feeding and nutrition counseling conducted?")</f>
        <v>0</v>
      </c>
      <c r="B530">
        <f>IFERROR(9E</f>
        <v>0</v>
      </c>
      <c r="D530">
        <f>IFERROR(__xludf.DUMMYFUNCTION("""COMPUTED_VALUE"""),"13. Is appropriate and adequate complementary feeding and nutrition counseling conducted?")</f>
        <v>0</v>
      </c>
      <c r="H530">
        <f>IFERROR(__xludf.DUMMYFUNCTION("""COMPUTED_VALUE"""),"select_one yes1_no0")</f>
        <v>0</v>
      </c>
    </row>
    <row r="531" spans="1:8">
      <c r="A531">
        <f>IFERROR(__xludf.DUMMYFUNCTION("""COMPUTED_VALUE"""),"14. Is there a demonstration and preparation of adequate diet for mothers?")</f>
        <v>0</v>
      </c>
      <c r="B531">
        <f>IFERROR(9z</f>
        <v>0</v>
      </c>
      <c r="D531">
        <f>IFERROR(__xludf.DUMMYFUNCTION("""COMPUTED_VALUE"""),"14. Is there a demonstration and preparation of adequate diet for mothers?")</f>
        <v>0</v>
      </c>
      <c r="H531">
        <f>IFERROR(__xludf.DUMMYFUNCTION("""COMPUTED_VALUE"""),"select_one yes1_no0")</f>
        <v>0</v>
      </c>
    </row>
    <row r="532" spans="1:8">
      <c r="A532">
        <f>IFERROR(__xludf.DUMMYFUNCTION("""COMPUTED_VALUE"""),"15. Is weighing, plotting, interpretation and counseling appropriately done?")</f>
        <v>0</v>
      </c>
      <c r="B532">
        <f>IFERROR(5U</f>
        <v>0</v>
      </c>
      <c r="D532">
        <f>IFERROR(__xludf.DUMMYFUNCTION("""COMPUTED_VALUE"""),"15. Is weighing, plotting, interpretation and counseling appropriately done?")</f>
        <v>0</v>
      </c>
      <c r="H532">
        <f>IFERROR(__xludf.DUMMYFUNCTION("""COMPUTED_VALUE"""),"select_one yes1_no0")</f>
        <v>0</v>
      </c>
    </row>
    <row r="533" spans="1:8">
      <c r="A533">
        <f>IFERROR(__xludf.DUMMYFUNCTION("""COMPUTED_VALUE"""),"")</f>
        <v>0</v>
      </c>
      <c r="B533">
        <f>IFERROR(7R</f>
        <v>0</v>
      </c>
      <c r="D533">
        <f>IFERROR(__xludf.DUMMYFUNCTION("""COMPUTED_VALUE"""),"")</f>
        <v>0</v>
      </c>
      <c r="H533">
        <f>IFERROR(__xludf.DUMMYFUNCTION("""COMPUTED_VALUE"""),"calculate")</f>
        <v>0</v>
      </c>
    </row>
    <row r="534" spans="1:8">
      <c r="A534">
        <f>IFERROR(__xludf.DUMMYFUNCTION("""COMPUTED_VALUE"""),"14.2 key comments")</f>
        <v>0</v>
      </c>
      <c r="B534">
        <f>IFERROR(3A</f>
        <v>0</v>
      </c>
      <c r="D534">
        <f>IFERROR(__xludf.DUMMYFUNCTION("""COMPUTED_VALUE"""),"14.2 key comments")</f>
        <v>0</v>
      </c>
      <c r="H534">
        <f>IFERROR(__xludf.DUMMYFUNCTION("""COMPUTED_VALUE"""),"text")</f>
        <v>0</v>
      </c>
    </row>
    <row r="535" spans="1:8">
      <c r="A535">
        <f>IFERROR(__xludf.DUMMYFUNCTION("""COMPUTED_VALUE"""),"14.2 action plan")</f>
        <v>0</v>
      </c>
      <c r="B535">
        <f>IFERROR(6O</f>
        <v>0</v>
      </c>
      <c r="D535">
        <f>IFERROR(__xludf.DUMMYFUNCTION("""COMPUTED_VALUE"""),"14.2 action plan")</f>
        <v>0</v>
      </c>
      <c r="H535">
        <f>IFERROR(__xludf.DUMMYFUNCTION("""COMPUTED_VALUE"""),"text")</f>
        <v>0</v>
      </c>
    </row>
    <row r="536" spans="1:8">
      <c r="A536">
        <f>IFERROR(__xludf.DUMMYFUNCTION("""COMPUTED_VALUE"""),"")</f>
        <v>0</v>
      </c>
      <c r="B536">
        <f>IFERROR04F</f>
        <v>0</v>
      </c>
      <c r="D536">
        <f>IFERROR(__xludf.DUMMYFUNCTION("""COMPUTED_VALUE"""),"")</f>
        <v>0</v>
      </c>
      <c r="H536">
        <f>IFERROR(__xludf.DUMMYFUNCTION("""COMPUTED_VALUE"""),"end_group")</f>
        <v>0</v>
      </c>
    </row>
    <row r="537" spans="1:8">
      <c r="A537">
        <f>IFERROR(__xludf.DUMMYFUNCTION("""COMPUTED_VALUE"""),"14.3 Guidelines and Job aids")</f>
        <v>0</v>
      </c>
      <c r="B537">
        <f>IFERROR(8j</f>
        <v>0</v>
      </c>
      <c r="D537">
        <f>IFERROR(__xludf.DUMMYFUNCTION("""COMPUTED_VALUE"""),"14.3 Guidelines and Job aids")</f>
        <v>0</v>
      </c>
      <c r="H537">
        <f>IFERROR(__xludf.DUMMYFUNCTION("""COMPUTED_VALUE"""),"begin_group")</f>
        <v>0</v>
      </c>
    </row>
    <row r="538" spans="1:8">
      <c r="A538">
        <f>IFERROR(__xludf.DUMMYFUNCTION("""COMPUTED_VALUE"""),"16. Is IYCF Guideline available and in use?")</f>
        <v>0</v>
      </c>
      <c r="B538">
        <f>IFERROR(5R</f>
        <v>0</v>
      </c>
      <c r="D538">
        <f>IFERROR(__xludf.DUMMYFUNCTION("""COMPUTED_VALUE"""),"16. Is IYCF Guideline available and in use?")</f>
        <v>0</v>
      </c>
      <c r="H538">
        <f>IFERROR(__xludf.DUMMYFUNCTION("""COMPUTED_VALUE"""),"select_one yes1_no0")</f>
        <v>0</v>
      </c>
    </row>
    <row r="539" spans="1:8">
      <c r="A539">
        <f>IFERROR(__xludf.DUMMYFUNCTION("""COMPUTED_VALUE"""),"17. Is Severe Acute Malnutrition Guidelines available and in use?")</f>
        <v>0</v>
      </c>
      <c r="B539">
        <f>IFERROR(5P</f>
        <v>0</v>
      </c>
      <c r="D539">
        <f>IFERROR(__xludf.DUMMYFUNCTION("""COMPUTED_VALUE"""),"17. Is Severe Acute Malnutrition Guidelines available and in use?")</f>
        <v>0</v>
      </c>
      <c r="H539">
        <f>IFERROR(__xludf.DUMMYFUNCTION("""COMPUTED_VALUE"""),"select_one yes1_no0")</f>
        <v>0</v>
      </c>
    </row>
    <row r="540" spans="1:8">
      <c r="A540">
        <f>IFERROR(__xludf.DUMMYFUNCTION("""COMPUTED_VALUE"""),"18. Is Micronutrient deficiency Control Guidelines available and in use?")</f>
        <v>0</v>
      </c>
      <c r="B540">
        <f>IFERROR(0r</f>
        <v>0</v>
      </c>
      <c r="D540">
        <f>IFERROR(__xludf.DUMMYFUNCTION("""COMPUTED_VALUE"""),"18. Is Micronutrient deficiency Control Guidelines available and in use?")</f>
        <v>0</v>
      </c>
      <c r="H540">
        <f>IFERROR(__xludf.DUMMYFUNCTION("""COMPUTED_VALUE"""),"select_one yes1_no0")</f>
        <v>0</v>
      </c>
    </row>
    <row r="541" spans="1:8">
      <c r="A541">
        <f>IFERROR(__xludf.DUMMYFUNCTION("""COMPUTED_VALUE"""),"19. Are Job Aids available")</f>
        <v>0</v>
      </c>
      <c r="B541">
        <f>IFERROR(6O</f>
        <v>0</v>
      </c>
      <c r="D541">
        <f>IFERROR(__xludf.DUMMYFUNCTION("""COMPUTED_VALUE"""),"19. Are Job Aids available")</f>
        <v>0</v>
      </c>
      <c r="H541">
        <f>IFERROR(__xludf.DUMMYFUNCTION("""COMPUTED_VALUE"""),"select_one yes1_no0")</f>
        <v>0</v>
      </c>
    </row>
    <row r="542" spans="1:8">
      <c r="A542">
        <f>IFERROR(__xludf.DUMMYFUNCTION("""COMPUTED_VALUE"""),"14.3 key comments")</f>
        <v>0</v>
      </c>
      <c r="B542">
        <f>IFERROR(9p</f>
        <v>0</v>
      </c>
      <c r="D542">
        <f>IFERROR(__xludf.DUMMYFUNCTION("""COMPUTED_VALUE"""),"14.3 key comments")</f>
        <v>0</v>
      </c>
      <c r="H542">
        <f>IFERROR(__xludf.DUMMYFUNCTION("""COMPUTED_VALUE"""),"text")</f>
        <v>0</v>
      </c>
    </row>
    <row r="543" spans="1:8">
      <c r="A543">
        <f>IFERROR(__xludf.DUMMYFUNCTION("""COMPUTED_VALUE"""),"14.3 action plan")</f>
        <v>0</v>
      </c>
      <c r="B543">
        <f>IFERROR(0G</f>
        <v>0</v>
      </c>
      <c r="D543">
        <f>IFERROR(__xludf.DUMMYFUNCTION("""COMPUTED_VALUE"""),"14.3 action plan")</f>
        <v>0</v>
      </c>
      <c r="H543">
        <f>IFERROR(__xludf.DUMMYFUNCTION("""COMPUTED_VALUE"""),"text")</f>
        <v>0</v>
      </c>
    </row>
    <row r="544" spans="1:8">
      <c r="A544">
        <f>IFERROR(__xludf.DUMMYFUNCTION("""COMPUTED_VALUE"""),"")</f>
        <v>0</v>
      </c>
      <c r="B544">
        <f>IFERROR(3K</f>
        <v>0</v>
      </c>
      <c r="D544">
        <f>IFERROR(__xludf.DUMMYFUNCTION("""COMPUTED_VALUE"""),"")</f>
        <v>0</v>
      </c>
      <c r="H544">
        <f>IFERROR(__xludf.DUMMYFUNCTION("""COMPUTED_VALUE"""),"calculate")</f>
        <v>0</v>
      </c>
    </row>
    <row r="545" spans="1:8">
      <c r="A545">
        <f>IFERROR(__xludf.DUMMYFUNCTION("""COMPUTED_VALUE"""),"")</f>
        <v>0</v>
      </c>
      <c r="B545">
        <f>IFERROR07a</f>
        <v>0</v>
      </c>
      <c r="D545">
        <f>IFERROR(__xludf.DUMMYFUNCTION("""COMPUTED_VALUE"""),"")</f>
        <v>0</v>
      </c>
      <c r="H545">
        <f>IFERROR(__xludf.DUMMYFUNCTION("""COMPUTED_VALUE"""),"end_group")</f>
        <v>0</v>
      </c>
    </row>
    <row r="546" spans="1:8">
      <c r="A546">
        <f>IFERROR(__xludf.DUMMYFUNCTION("""COMPUTED_VALUE"""),"14.4 Equipment availability and Supplies")</f>
        <v>0</v>
      </c>
      <c r="B546">
        <f>IFERROR(8S</f>
        <v>0</v>
      </c>
      <c r="D546">
        <f>IFERROR(__xludf.DUMMYFUNCTION("""COMPUTED_VALUE"""),"14.4 Equipment availability and Supplies")</f>
        <v>0</v>
      </c>
      <c r="H546">
        <f>IFERROR(__xludf.DUMMYFUNCTION("""COMPUTED_VALUE"""),"begin_group")</f>
        <v>0</v>
      </c>
    </row>
    <row r="547" spans="1:8">
      <c r="A547">
        <f>IFERROR(__xludf.DUMMYFUNCTION("""COMPUTED_VALUE"""),"20. Thermometer")</f>
        <v>0</v>
      </c>
      <c r="B547">
        <f>IFERROR(4L</f>
        <v>0</v>
      </c>
      <c r="D547">
        <f>IFERROR(__xludf.DUMMYFUNCTION("""COMPUTED_VALUE"""),"20. Thermometer")</f>
        <v>0</v>
      </c>
      <c r="H547">
        <f>IFERROR(__xludf.DUMMYFUNCTION("""COMPUTED_VALUE"""),"select_one yes1_no0")</f>
        <v>0</v>
      </c>
    </row>
    <row r="548" spans="1:8">
      <c r="A548">
        <f>IFERROR(__xludf.DUMMYFUNCTION("""COMPUTED_VALUE"""),"21. Tongue Depressor")</f>
        <v>0</v>
      </c>
      <c r="B548">
        <f>IFERROR(5C</f>
        <v>0</v>
      </c>
      <c r="D548">
        <f>IFERROR(__xludf.DUMMYFUNCTION("""COMPUTED_VALUE"""),"21. Tongue Depressor")</f>
        <v>0</v>
      </c>
      <c r="H548">
        <f>IFERROR(__xludf.DUMMYFUNCTION("""COMPUTED_VALUE"""),"select_one yes1_no0")</f>
        <v>0</v>
      </c>
    </row>
    <row r="549" spans="1:8">
      <c r="A549">
        <f>IFERROR(__xludf.DUMMYFUNCTION("""COMPUTED_VALUE"""),"22. Food demonstration materials/tools/equipments (cooking utensils)")</f>
        <v>0</v>
      </c>
      <c r="B549">
        <f>IFERROR(2P</f>
        <v>0</v>
      </c>
      <c r="D549">
        <f>IFERROR(__xludf.DUMMYFUNCTION("""COMPUTED_VALUE"""),"22. Food demonstration materials/tools/equipments (cooking utensils)")</f>
        <v>0</v>
      </c>
      <c r="H549">
        <f>IFERROR(__xludf.DUMMYFUNCTION("""COMPUTED_VALUE"""),"select_one yes1_no0")</f>
        <v>0</v>
      </c>
    </row>
    <row r="550" spans="1:8">
      <c r="A550">
        <f>IFERROR(__xludf.DUMMYFUNCTION("""COMPUTED_VALUE"""),"23. Infant weighing scales")</f>
        <v>0</v>
      </c>
      <c r="B550">
        <f>IFERROR(7t</f>
        <v>0</v>
      </c>
      <c r="D550">
        <f>IFERROR(__xludf.DUMMYFUNCTION("""COMPUTED_VALUE"""),"23. Infant weighing scales")</f>
        <v>0</v>
      </c>
      <c r="H550">
        <f>IFERROR(__xludf.DUMMYFUNCTION("""COMPUTED_VALUE"""),"select_one yes1_no0")</f>
        <v>0</v>
      </c>
    </row>
    <row r="551" spans="1:8">
      <c r="A551">
        <f>IFERROR(__xludf.DUMMYFUNCTION("""COMPUTED_VALUE"""),"24. Adult weighing scales")</f>
        <v>0</v>
      </c>
      <c r="B551">
        <f>IFERROR(9k</f>
        <v>0</v>
      </c>
      <c r="D551">
        <f>IFERROR(__xludf.DUMMYFUNCTION("""COMPUTED_VALUE"""),"24. Adult weighing scales")</f>
        <v>0</v>
      </c>
      <c r="H551">
        <f>IFERROR(__xludf.DUMMYFUNCTION("""COMPUTED_VALUE"""),"select_one yes1_no0")</f>
        <v>0</v>
      </c>
    </row>
    <row r="552" spans="1:8">
      <c r="A552">
        <f>IFERROR(__xludf.DUMMYFUNCTION("""COMPUTED_VALUE"""),"25. Mid-Upper Arm Circumference Tapes")</f>
        <v>0</v>
      </c>
      <c r="B552">
        <f>IFERROR(2Y</f>
        <v>0</v>
      </c>
      <c r="D552">
        <f>IFERROR(__xludf.DUMMYFUNCTION("""COMPUTED_VALUE"""),"25. Mid-Upper Arm Circumference Tapes")</f>
        <v>0</v>
      </c>
      <c r="H552">
        <f>IFERROR(__xludf.DUMMYFUNCTION("""COMPUTED_VALUE"""),"select_one yes1_no0")</f>
        <v>0</v>
      </c>
    </row>
    <row r="553" spans="1:8">
      <c r="A553">
        <f>IFERROR(__xludf.DUMMYFUNCTION("""COMPUTED_VALUE"""),"26. Height Measuring Boards for children")</f>
        <v>0</v>
      </c>
      <c r="B553">
        <f>IFERROR(8N</f>
        <v>0</v>
      </c>
      <c r="D553">
        <f>IFERROR(__xludf.DUMMYFUNCTION("""COMPUTED_VALUE"""),"26. Height Measuring Boards for children")</f>
        <v>0</v>
      </c>
      <c r="H553">
        <f>IFERROR(__xludf.DUMMYFUNCTION("""COMPUTED_VALUE"""),"select_one yes1_no0")</f>
        <v>0</v>
      </c>
    </row>
    <row r="554" spans="1:8">
      <c r="A554">
        <f>IFERROR(__xludf.DUMMYFUNCTION("""COMPUTED_VALUE"""),"27. Adult Heightometers")</f>
        <v>0</v>
      </c>
      <c r="B554">
        <f>IFERROR(5H</f>
        <v>0</v>
      </c>
      <c r="D554">
        <f>IFERROR(__xludf.DUMMYFUNCTION("""COMPUTED_VALUE"""),"27. Adult Heightometers")</f>
        <v>0</v>
      </c>
      <c r="H554">
        <f>IFERROR(__xludf.DUMMYFUNCTION("""COMPUTED_VALUE"""),"select_one yes1_no0")</f>
        <v>0</v>
      </c>
    </row>
    <row r="555" spans="1:8">
      <c r="A555">
        <f>IFERROR(__xludf.DUMMYFUNCTION("""COMPUTED_VALUE"""),"28. Growth Monitoring card")</f>
        <v>0</v>
      </c>
      <c r="B555">
        <f>IFERROR(0G</f>
        <v>0</v>
      </c>
      <c r="D555">
        <f>IFERROR(__xludf.DUMMYFUNCTION("""COMPUTED_VALUE"""),"28. Growth Monitoring card")</f>
        <v>0</v>
      </c>
      <c r="H555">
        <f>IFERROR(__xludf.DUMMYFUNCTION("""COMPUTED_VALUE"""),"select_one yes1_no0")</f>
        <v>0</v>
      </c>
    </row>
    <row r="556" spans="1:8">
      <c r="A556">
        <f>IFERROR(__xludf.DUMMYFUNCTION("""COMPUTED_VALUE"""),"")</f>
        <v>0</v>
      </c>
      <c r="B556">
        <f>IFERROR(0F</f>
        <v>0</v>
      </c>
      <c r="D556">
        <f>IFERROR(__xludf.DUMMYFUNCTION("""COMPUTED_VALUE"""),"")</f>
        <v>0</v>
      </c>
      <c r="H556">
        <f>IFERROR(__xludf.DUMMYFUNCTION("""COMPUTED_VALUE"""),"calculate")</f>
        <v>0</v>
      </c>
    </row>
    <row r="557" spans="1:8">
      <c r="A557">
        <f>IFERROR(__xludf.DUMMYFUNCTION("""COMPUTED_VALUE"""),"14.4 key comments")</f>
        <v>0</v>
      </c>
      <c r="B557">
        <f>IFERROR(6B</f>
        <v>0</v>
      </c>
      <c r="D557">
        <f>IFERROR(__xludf.DUMMYFUNCTION("""COMPUTED_VALUE"""),"14.4 key comments")</f>
        <v>0</v>
      </c>
      <c r="H557">
        <f>IFERROR(__xludf.DUMMYFUNCTION("""COMPUTED_VALUE"""),"text")</f>
        <v>0</v>
      </c>
    </row>
    <row r="558" spans="1:8">
      <c r="A558">
        <f>IFERROR(__xludf.DUMMYFUNCTION("""COMPUTED_VALUE"""),"14.4 action plan")</f>
        <v>0</v>
      </c>
      <c r="B558">
        <f>IFERROR(2J</f>
        <v>0</v>
      </c>
      <c r="D558">
        <f>IFERROR(__xludf.DUMMYFUNCTION("""COMPUTED_VALUE"""),"14.4 action plan")</f>
        <v>0</v>
      </c>
      <c r="H558">
        <f>IFERROR(__xludf.DUMMYFUNCTION("""COMPUTED_VALUE"""),"text")</f>
        <v>0</v>
      </c>
    </row>
    <row r="559" spans="1:8">
      <c r="A559">
        <f>IFERROR(__xludf.DUMMYFUNCTION("""COMPUTED_VALUE"""),"")</f>
        <v>0</v>
      </c>
      <c r="B559">
        <f>IFERROR00S</f>
        <v>0</v>
      </c>
      <c r="D559">
        <f>IFERROR(__xludf.DUMMYFUNCTION("""COMPUTED_VALUE"""),"")</f>
        <v>0</v>
      </c>
      <c r="H559">
        <f>IFERROR(__xludf.DUMMYFUNCTION("""COMPUTED_VALUE"""),"end_group")</f>
        <v>0</v>
      </c>
    </row>
    <row r="560" spans="1:8">
      <c r="A560">
        <f>IFERROR(__xludf.DUMMYFUNCTION("""COMPUTED_VALUE"""),"14.5 Determination of nutritional status")</f>
        <v>0</v>
      </c>
      <c r="B560">
        <f>IFERROR(1T</f>
        <v>0</v>
      </c>
      <c r="D560">
        <f>IFERROR(__xludf.DUMMYFUNCTION("""COMPUTED_VALUE"""),"14.5 Determination of nutritional status")</f>
        <v>0</v>
      </c>
      <c r="H560">
        <f>IFERROR(__xludf.DUMMYFUNCTION("""COMPUTED_VALUE"""),"begin_group")</f>
        <v>0</v>
      </c>
    </row>
    <row r="561" spans="1:8">
      <c r="A561">
        <f>IFERROR(__xludf.DUMMYFUNCTION("""COMPUTED_VALUE"""),"29. Determination of nutritional status of all children under 5 who come for consultation")</f>
        <v>0</v>
      </c>
      <c r="B561">
        <f>IFERROR(1x</f>
        <v>0</v>
      </c>
      <c r="D561">
        <f>IFERROR(__xludf.DUMMYFUNCTION("""COMPUTED_VALUE"""),"29. Determination of nutritional status of all children under 5 who come for consultation")</f>
        <v>0</v>
      </c>
      <c r="H561">
        <f>IFERROR(__xludf.DUMMYFUNCTION("""COMPUTED_VALUE"""),"select_one yes2_no0")</f>
        <v>0</v>
      </c>
    </row>
    <row r="562" spans="1:8">
      <c r="A562">
        <f>IFERROR(__xludf.DUMMYFUNCTION("""COMPUTED_VALUE"""),"30. Determination of nutritional status of all women with a sick child under 6 months of age (as above)")</f>
        <v>0</v>
      </c>
      <c r="B562">
        <f>IFERROR(7X</f>
        <v>0</v>
      </c>
      <c r="D562">
        <f>IFERROR(__xludf.DUMMYFUNCTION("""COMPUTED_VALUE"""),"30. Determination of nutritional status of all women with a sick child under 6 months of age (as above)")</f>
        <v>0</v>
      </c>
      <c r="H562">
        <f>IFERROR(__xludf.DUMMYFUNCTION("""COMPUTED_VALUE"""),"select_one yes2_no0")</f>
        <v>0</v>
      </c>
    </row>
    <row r="563" spans="1:8">
      <c r="A563">
        <f>IFERROR(__xludf.DUMMYFUNCTION("""COMPUTED_VALUE"""),"31. Screening record of nutritional status available, up to date and properly filled out")</f>
        <v>0</v>
      </c>
      <c r="B563">
        <f>IFERROR(0Q</f>
        <v>0</v>
      </c>
      <c r="D563">
        <f>IFERROR(__xludf.DUMMYFUNCTION("""COMPUTED_VALUE"""),"31. Screening record of nutritional status available, up to date and properly filled out")</f>
        <v>0</v>
      </c>
      <c r="H563">
        <f>IFERROR(__xludf.DUMMYFUNCTION("""COMPUTED_VALUE"""),"select_one yes2_no0")</f>
        <v>0</v>
      </c>
    </row>
    <row r="564" spans="1:8">
      <c r="A564">
        <f>IFERROR(__xludf.DUMMYFUNCTION("""COMPUTED_VALUE"""),"")</f>
        <v>0</v>
      </c>
      <c r="B564">
        <f>IFERROR(1H</f>
        <v>0</v>
      </c>
      <c r="D564">
        <f>IFERROR(__xludf.DUMMYFUNCTION("""COMPUTED_VALUE"""),"")</f>
        <v>0</v>
      </c>
      <c r="H564">
        <f>IFERROR(__xludf.DUMMYFUNCTION("""COMPUTED_VALUE"""),"calculate")</f>
        <v>0</v>
      </c>
    </row>
    <row r="565" spans="1:8">
      <c r="A565">
        <f>IFERROR(__xludf.DUMMYFUNCTION("""COMPUTED_VALUE"""),"")</f>
        <v>0</v>
      </c>
      <c r="B565">
        <f>IFERROR07K</f>
        <v>0</v>
      </c>
      <c r="D565">
        <f>IFERROR(__xludf.DUMMYFUNCTION("""COMPUTED_VALUE"""),"")</f>
        <v>0</v>
      </c>
      <c r="H565">
        <f>IFERROR(__xludf.DUMMYFUNCTION("""COMPUTED_VALUE"""),"end_group")</f>
        <v>0</v>
      </c>
    </row>
    <row r="566" spans="1:8">
      <c r="A566">
        <f>IFERROR(__xludf.DUMMYFUNCTION("""COMPUTED_VALUE"""),"14.6 Direct observation of three consecutive children under five. The reviewer team will have to ensure it is available on a time that is suitable to see children through direct observation on the OPD. In case there are no patients to be seen, this indica"&amp;"tor automatically carries 0 points. For each of the three children observe the following six elements whether they occur in the patient-doctor/nurse interaction. At the end provide feedback on your findings.")</f>
        <v>0</v>
      </c>
      <c r="B566">
        <f>IFERROR(5u</f>
        <v>0</v>
      </c>
      <c r="D566">
        <f>IFERROR(__xludf.DUMMYFUNCTION("""COMPUTED_VALUE"""),"14.6 Direct observation of three consecutive children under five. The reviewer team will have to ensure it is available on a time that is suitable to see children through direct observation on the OPD. In case there are no patients to be seen, this indica"&amp;"tor automatically carries 0 points. For each of the three children observe the following six elements whether they occur in the patient-doctor/nurse interaction. At the end provide feedback on your findings.")</f>
        <v>0</v>
      </c>
      <c r="H566">
        <f>IFERROR(__xludf.DUMMYFUNCTION("""COMPUTED_VALUE"""),"begin_group")</f>
        <v>0</v>
      </c>
    </row>
    <row r="567" spans="1:8">
      <c r="A567">
        <f>IFERROR(__xludf.DUMMYFUNCTION("""COMPUTED_VALUE"""),"32. Ask about fever and IF FEVER ask about (i) since when; (ii) persistent or intermittent ")</f>
        <v>0</v>
      </c>
      <c r="B567">
        <f>IFERROR(1L</f>
        <v>0</v>
      </c>
      <c r="D567">
        <f>IFERROR(__xludf.DUMMYFUNCTION("""COMPUTED_VALUE"""),"32. Ask about fever and IF FEVER ask about (i) since when; (ii) persistent or intermittent ")</f>
        <v>0</v>
      </c>
      <c r="H567">
        <f>IFERROR(__xludf.DUMMYFUNCTION("""COMPUTED_VALUE"""),"select_one yes6_no0")</f>
        <v>0</v>
      </c>
    </row>
    <row r="568" spans="1:8">
      <c r="A568">
        <f>IFERROR(__xludf.DUMMYFUNCTION("""COMPUTED_VALUE"""),"33. Ask about cough and IF COUGH ask about since when ")</f>
        <v>0</v>
      </c>
      <c r="B568">
        <f>IFERROR(2e</f>
        <v>0</v>
      </c>
      <c r="D568">
        <f>IFERROR(__xludf.DUMMYFUNCTION("""COMPUTED_VALUE"""),"33. Ask about cough and IF COUGH ask about since when ")</f>
        <v>0</v>
      </c>
      <c r="H568">
        <f>IFERROR(__xludf.DUMMYFUNCTION("""COMPUTED_VALUE"""),"select_one yes6_no0")</f>
        <v>0</v>
      </c>
    </row>
    <row r="569" spans="1:8">
      <c r="A569">
        <f>IFERROR(__xludf.DUMMYFUNCTION("""COMPUTED_VALUE"""),"34. Ask for diarrhea IF DIARRHOEA then ask (i) since when; (ii) how often per day; (iii) consistency - water or mucus or bloody; (iv) vomiting ")</f>
        <v>0</v>
      </c>
      <c r="B569">
        <f>IFERROR(4Y</f>
        <v>0</v>
      </c>
      <c r="D569">
        <f>IFERROR(__xludf.DUMMYFUNCTION("""COMPUTED_VALUE"""),"34. Ask for diarrhea IF DIARRHOEA then ask (i) since when; (ii) how often per day; (iii) consistency - water or mucus or bloody; (iv) vomiting ")</f>
        <v>0</v>
      </c>
      <c r="H569">
        <f>IFERROR(__xludf.DUMMYFUNCTION("""COMPUTED_VALUE"""),"select_one yes6_no0")</f>
        <v>0</v>
      </c>
    </row>
    <row r="570" spans="1:8">
      <c r="A570">
        <f>IFERROR(__xludf.DUMMYFUNCTION("""COMPUTED_VALUE"""),"35. GENERAL IMPRESSION: awake or tired? ")</f>
        <v>0</v>
      </c>
      <c r="B570">
        <f>IFERROR(0v</f>
        <v>0</v>
      </c>
      <c r="D570">
        <f>IFERROR(__xludf.DUMMYFUNCTION("""COMPUTED_VALUE"""),"35. GENERAL IMPRESSION: awake or tired? ")</f>
        <v>0</v>
      </c>
      <c r="H570">
        <f>IFERROR(__xludf.DUMMYFUNCTION("""COMPUTED_VALUE"""),"select_one yes6_no0")</f>
        <v>0</v>
      </c>
    </row>
    <row r="571" spans="1:8">
      <c r="A571">
        <f>IFERROR(__xludf.DUMMYFUNCTION("""COMPUTED_VALUE"""),"36. FIRST - COUNT RESPIRATION RATE (observe before touching child!!!) ")</f>
        <v>0</v>
      </c>
      <c r="B571">
        <f>IFERROR00Q</f>
        <v>0</v>
      </c>
      <c r="D571">
        <f>IFERROR(__xludf.DUMMYFUNCTION("""COMPUTED_VALUE"""),"36. FIRST - COUNT RESPIRATION RATE (observe before touching child!!!) ")</f>
        <v>0</v>
      </c>
      <c r="H571">
        <f>IFERROR(__xludf.DUMMYFUNCTION("""COMPUTED_VALUE"""),"select_one yes6_no0")</f>
        <v>0</v>
      </c>
    </row>
    <row r="572" spans="1:8">
      <c r="A572">
        <f>IFERROR(__xludf.DUMMYFUNCTION("""COMPUTED_VALUE"""),"37. Temperature (measure) ")</f>
        <v>0</v>
      </c>
      <c r="B572">
        <f>IFERROR(0E</f>
        <v>0</v>
      </c>
      <c r="D572">
        <f>IFERROR(__xludf.DUMMYFUNCTION("""COMPUTED_VALUE"""),"37. Temperature (measure) ")</f>
        <v>0</v>
      </c>
      <c r="H572">
        <f>IFERROR(__xludf.DUMMYFUNCTION("""COMPUTED_VALUE"""),"select_one yes6_no0")</f>
        <v>0</v>
      </c>
    </row>
    <row r="573" spans="1:8">
      <c r="A573">
        <f>IFERROR(__xludf.DUMMYFUNCTION("""COMPUTED_VALUE"""),"38. Skin pinch (in case of diarrhea) OR chest auscultation (in case of cough) ")</f>
        <v>0</v>
      </c>
      <c r="B573">
        <f>IFERROR(4W</f>
        <v>0</v>
      </c>
      <c r="D573">
        <f>IFERROR(__xludf.DUMMYFUNCTION("""COMPUTED_VALUE"""),"38. Skin pinch (in case of diarrhea) OR chest auscultation (in case of cough) ")</f>
        <v>0</v>
      </c>
      <c r="H573">
        <f>IFERROR(__xludf.DUMMYFUNCTION("""COMPUTED_VALUE"""),"select_one yes6_no0")</f>
        <v>0</v>
      </c>
    </row>
    <row r="574" spans="1:8">
      <c r="A574">
        <f>IFERROR(__xludf.DUMMYFUNCTION("""COMPUTED_VALUE"""),"14.6 key comments")</f>
        <v>0</v>
      </c>
      <c r="B574">
        <f>IFERROR(8n</f>
        <v>0</v>
      </c>
      <c r="D574">
        <f>IFERROR(__xludf.DUMMYFUNCTION("""COMPUTED_VALUE"""),"14.6 key comments")</f>
        <v>0</v>
      </c>
      <c r="H574">
        <f>IFERROR(__xludf.DUMMYFUNCTION("""COMPUTED_VALUE"""),"text")</f>
        <v>0</v>
      </c>
    </row>
    <row r="575" spans="1:8">
      <c r="A575">
        <f>IFERROR(__xludf.DUMMYFUNCTION("""COMPUTED_VALUE"""),"14.6 action plan")</f>
        <v>0</v>
      </c>
      <c r="B575">
        <f>IFERROR(7i</f>
        <v>0</v>
      </c>
      <c r="D575">
        <f>IFERROR(__xludf.DUMMYFUNCTION("""COMPUTED_VALUE"""),"14.6 action plan")</f>
        <v>0</v>
      </c>
      <c r="H575">
        <f>IFERROR(__xludf.DUMMYFUNCTION("""COMPUTED_VALUE"""),"text")</f>
        <v>0</v>
      </c>
    </row>
    <row r="576" spans="1:8">
      <c r="A576">
        <f>IFERROR(__xludf.DUMMYFUNCTION("""COMPUTED_VALUE"""),"")</f>
        <v>0</v>
      </c>
      <c r="B576">
        <f>IFERROR(6B</f>
        <v>0</v>
      </c>
      <c r="D576">
        <f>IFERROR(__xludf.DUMMYFUNCTION("""COMPUTED_VALUE"""),"")</f>
        <v>0</v>
      </c>
      <c r="H576">
        <f>IFERROR(__xludf.DUMMYFUNCTION("""COMPUTED_VALUE"""),"calculate")</f>
        <v>0</v>
      </c>
    </row>
    <row r="577" spans="1:8">
      <c r="A577">
        <f>IFERROR(__xludf.DUMMYFUNCTION("""COMPUTED_VALUE"""),"")</f>
        <v>0</v>
      </c>
      <c r="B577">
        <f>IFERROR01C</f>
        <v>0</v>
      </c>
      <c r="D577">
        <f>IFERROR(__xludf.DUMMYFUNCTION("""COMPUTED_VALUE"""),"")</f>
        <v>0</v>
      </c>
      <c r="H577">
        <f>IFERROR(__xludf.DUMMYFUNCTION("""COMPUTED_VALUE"""),"end_group")</f>
        <v>0</v>
      </c>
    </row>
    <row r="578" spans="1:8">
      <c r="A578">
        <f>IFERROR(__xludf.DUMMYFUNCTION("""COMPUTED_VALUE"""),"")</f>
        <v>0</v>
      </c>
      <c r="B578">
        <f>IFERROR(7p</f>
        <v>0</v>
      </c>
      <c r="D578">
        <f>IFERROR(__xludf.DUMMYFUNCTION("""COMPUTED_VALUE"""),"")</f>
        <v>0</v>
      </c>
      <c r="H578">
        <f>IFERROR(__xludf.DUMMYFUNCTION("""COMPUTED_VALUE"""),"calculate")</f>
        <v>0</v>
      </c>
    </row>
    <row r="579" spans="1:8">
      <c r="A579">
        <f>IFERROR(__xludf.DUMMYFUNCTION("""COMPUTED_VALUE"""),"")</f>
        <v>0</v>
      </c>
      <c r="B579">
        <f>IFERROR06w</f>
        <v>0</v>
      </c>
      <c r="D579">
        <f>IFERROR(__xludf.DUMMYFUNCTION("""COMPUTED_VALUE"""),"")</f>
        <v>0</v>
      </c>
      <c r="H579">
        <f>IFERROR(__xludf.DUMMYFUNCTION("""COMPUTED_VALUE"""),"end_group")</f>
        <v>0</v>
      </c>
    </row>
    <row r="580" spans="1:8">
      <c r="A580">
        <f>IFERROR(__xludf.DUMMYFUNCTION("""COMPUTED_VALUE"""),"Section 15. Surveillance ")</f>
        <v>0</v>
      </c>
      <c r="B580">
        <f>IFERROR(5b</f>
        <v>0</v>
      </c>
      <c r="D580">
        <f>IFERROR(__xludf.DUMMYFUNCTION("""COMPUTED_VALUE"""),"Section 15. Surveillance ")</f>
        <v>0</v>
      </c>
      <c r="H580">
        <f>IFERROR(__xludf.DUMMYFUNCTION("""COMPUTED_VALUE"""),"begin_group")</f>
        <v>0</v>
      </c>
    </row>
    <row r="581" spans="1:8">
      <c r="A581">
        <f>IFERROR(__xludf.DUMMYFUNCTION("""COMPUTED_VALUE"""),"15.1 Focal Person")</f>
        <v>0</v>
      </c>
      <c r="B581">
        <f>IFERROR(5f</f>
        <v>0</v>
      </c>
      <c r="D581">
        <f>IFERROR(__xludf.DUMMYFUNCTION("""COMPUTED_VALUE"""),"15.1 Focal Person")</f>
        <v>0</v>
      </c>
      <c r="H581">
        <f>IFERROR(__xludf.DUMMYFUNCTION("""COMPUTED_VALUE"""),"note")</f>
        <v>0</v>
      </c>
    </row>
    <row r="582" spans="1:8">
      <c r="A582">
        <f>IFERROR(__xludf.DUMMYFUNCTION("""COMPUTED_VALUE"""),"1. Is there a surveillance focal person located in the health facility?")</f>
        <v>0</v>
      </c>
      <c r="B582">
        <f>IFERROR(6Y</f>
        <v>0</v>
      </c>
      <c r="D582">
        <f>IFERROR(__xludf.DUMMYFUNCTION("""COMPUTED_VALUE"""),"1. Is there a surveillance focal person located in the health facility?")</f>
        <v>0</v>
      </c>
      <c r="H582">
        <f>IFERROR(__xludf.DUMMYFUNCTION("""COMPUTED_VALUE"""),"select_one yes1_no0")</f>
        <v>0</v>
      </c>
    </row>
    <row r="583" spans="1:8">
      <c r="A583">
        <f>IFERROR(__xludf.DUMMYFUNCTION("""COMPUTED_VALUE"""),"2. Has the focal person been trained/re-trained in the last 1 year?")</f>
        <v>0</v>
      </c>
      <c r="B583">
        <f>IFERROR(5h</f>
        <v>0</v>
      </c>
      <c r="D583">
        <f>IFERROR(__xludf.DUMMYFUNCTION("""COMPUTED_VALUE"""),"2. Has the focal person been trained/re-trained in the last 1 year?")</f>
        <v>0</v>
      </c>
      <c r="H583">
        <f>IFERROR(__xludf.DUMMYFUNCTION("""COMPUTED_VALUE"""),"select_one yes1_no0")</f>
        <v>0</v>
      </c>
    </row>
    <row r="584" spans="1:8">
      <c r="A584">
        <f>IFERROR(__xludf.DUMMYFUNCTION("""COMPUTED_VALUE"""),"3. Does the focal person have surveillance guideline booklet?")</f>
        <v>0</v>
      </c>
      <c r="B584">
        <f>IFERROR(9s</f>
        <v>0</v>
      </c>
      <c r="D584">
        <f>IFERROR(__xludf.DUMMYFUNCTION("""COMPUTED_VALUE"""),"3. Does the focal person have surveillance guideline booklet?")</f>
        <v>0</v>
      </c>
      <c r="H584">
        <f>IFERROR(__xludf.DUMMYFUNCTION("""COMPUTED_VALUE"""),"select_one yes1_no0")</f>
        <v>0</v>
      </c>
    </row>
    <row r="585" spans="1:8">
      <c r="A585">
        <f>IFERROR(__xludf.DUMMYFUNCTION("""COMPUTED_VALUE"""),"4. Does the focal person know the case definiton of AFP, measles, yellow fever, NNT, GWD , CSM,Lassa Fever, cholera and other epidemic prone diseases")</f>
        <v>0</v>
      </c>
      <c r="B585">
        <f>IFERROR(9G</f>
        <v>0</v>
      </c>
      <c r="D585">
        <f>IFERROR(__xludf.DUMMYFUNCTION("""COMPUTED_VALUE"""),"4. Does the focal person know the case definiton of AFP, measles, yellow fever, NNT, GWD , CSM,Lassa Fever, cholera and other epidemic prone diseases")</f>
        <v>0</v>
      </c>
      <c r="H585">
        <f>IFERROR(__xludf.DUMMYFUNCTION("""COMPUTED_VALUE"""),"select_one yes8_no0")</f>
        <v>0</v>
      </c>
    </row>
    <row r="586" spans="1:8">
      <c r="A586">
        <f>IFERROR(__xludf.DUMMYFUNCTION("""COMPUTED_VALUE"""),"5. Does the surveillance focal person know at least three differentials of AFP and other diseases as written above?")</f>
        <v>0</v>
      </c>
      <c r="B586">
        <f>IFERROR(2Y</f>
        <v>0</v>
      </c>
      <c r="D586">
        <f>IFERROR(__xludf.DUMMYFUNCTION("""COMPUTED_VALUE"""),"5. Does the surveillance focal person know at least three differentials of AFP and other diseases as written above?")</f>
        <v>0</v>
      </c>
      <c r="H586">
        <f>IFERROR(__xludf.DUMMYFUNCTION("""COMPUTED_VALUE"""),"select_one yes8_no0")</f>
        <v>0</v>
      </c>
    </row>
    <row r="587" spans="1:8">
      <c r="A587">
        <f>IFERROR(__xludf.DUMMYFUNCTION("""COMPUTED_VALUE"""),"6. Does the surveillance focal person know the stool collection procedure for AFP?")</f>
        <v>0</v>
      </c>
      <c r="B587">
        <f>IFERROR(0e</f>
        <v>0</v>
      </c>
      <c r="D587">
        <f>IFERROR(__xludf.DUMMYFUNCTION("""COMPUTED_VALUE"""),"6. Does the surveillance focal person know the stool collection procedure for AFP?")</f>
        <v>0</v>
      </c>
      <c r="H587">
        <f>IFERROR(__xludf.DUMMYFUNCTION("""COMPUTED_VALUE"""),"select_one yes1_no0")</f>
        <v>0</v>
      </c>
    </row>
    <row r="588" spans="1:8">
      <c r="A588">
        <f>IFERROR(__xludf.DUMMYFUNCTION("""COMPUTED_VALUE"""),"7. Is the focal person aware of the importance of active case search and immediate reporting of AFP, GWD, Measles, NNT etc")</f>
        <v>0</v>
      </c>
      <c r="B588">
        <f>IFERROR(5P</f>
        <v>0</v>
      </c>
      <c r="D588">
        <f>IFERROR(__xludf.DUMMYFUNCTION("""COMPUTED_VALUE"""),"7. Is the focal person aware of the importance of active case search and immediate reporting of AFP, GWD, Measles, NNT etc")</f>
        <v>0</v>
      </c>
      <c r="H588">
        <f>IFERROR(__xludf.DUMMYFUNCTION("""COMPUTED_VALUE"""),"select_one yes1_no0")</f>
        <v>0</v>
      </c>
    </row>
    <row r="589" spans="1:8">
      <c r="A589">
        <f>IFERROR(__xludf.DUMMYFUNCTION("""COMPUTED_VALUE"""),"8. Has the focal person reported any AFP case in the last six months?")</f>
        <v>0</v>
      </c>
      <c r="B589">
        <f>IFERROR(0e</f>
        <v>0</v>
      </c>
      <c r="D589">
        <f>IFERROR(__xludf.DUMMYFUNCTION("""COMPUTED_VALUE"""),"8. Has the focal person reported any AFP case in the last six months?")</f>
        <v>0</v>
      </c>
      <c r="H589">
        <f>IFERROR(__xludf.DUMMYFUNCTION("""COMPUTED_VALUE"""),"select_one yes1_no0")</f>
        <v>0</v>
      </c>
    </row>
    <row r="590" spans="1:8">
      <c r="A590">
        <f>IFERROR(__xludf.DUMMYFUNCTION("""COMPUTED_VALUE"""),"8a. Action Plan")</f>
        <v>0</v>
      </c>
      <c r="B590">
        <f>IFERROR(2b</f>
        <v>0</v>
      </c>
      <c r="D590">
        <f>IFERROR(__xludf.DUMMYFUNCTION("""COMPUTED_VALUE"""),"8a. Action Plan")</f>
        <v>0</v>
      </c>
      <c r="H590">
        <f>IFERROR(__xludf.DUMMYFUNCTION("""COMPUTED_VALUE"""),"text")</f>
        <v>0</v>
      </c>
    </row>
    <row r="591" spans="1:8">
      <c r="A591">
        <f>IFERROR(__xludf.DUMMYFUNCTION("""COMPUTED_VALUE"""),"15.2 Active Case Search/Supervision")</f>
        <v>0</v>
      </c>
      <c r="B591">
        <f>IFERROR(4K</f>
        <v>0</v>
      </c>
      <c r="D591">
        <f>IFERROR(__xludf.DUMMYFUNCTION("""COMPUTED_VALUE"""),"15.2 Active Case Search/Supervision")</f>
        <v>0</v>
      </c>
      <c r="H591">
        <f>IFERROR(__xludf.DUMMYFUNCTION("""COMPUTED_VALUE"""),"begin_group")</f>
        <v>0</v>
      </c>
    </row>
    <row r="592" spans="1:8">
      <c r="A592">
        <f>IFERROR(__xludf.DUMMYFUNCTION("""COMPUTED_VALUE"""),"9. Were ACS/supervisions conducted in the HF in the last three months based on records?")</f>
        <v>0</v>
      </c>
      <c r="B592">
        <f>IFERROR(8v</f>
        <v>0</v>
      </c>
      <c r="D592">
        <f>IFERROR(__xludf.DUMMYFUNCTION("""COMPUTED_VALUE"""),"9. Were ACS/supervisions conducted in the HF in the last three months based on records?")</f>
        <v>0</v>
      </c>
      <c r="H592">
        <f>IFERROR(__xludf.DUMMYFUNCTION("""COMPUTED_VALUE"""),"select_one yes1_no0")</f>
        <v>0</v>
      </c>
    </row>
    <row r="593" spans="1:8">
      <c r="A593">
        <f>IFERROR(__xludf.DUMMYFUNCTION("""COMPUTED_VALUE"""),"10. Were the ACS conducted in the last three months based on prority?")</f>
        <v>0</v>
      </c>
      <c r="B593">
        <f>IFERROR(1o</f>
        <v>0</v>
      </c>
      <c r="D593">
        <f>IFERROR(__xludf.DUMMYFUNCTION("""COMPUTED_VALUE"""),"10. Were the ACS conducted in the last three months based on prority?")</f>
        <v>0</v>
      </c>
      <c r="H593">
        <f>IFERROR(__xludf.DUMMYFUNCTION("""COMPUTED_VALUE"""),"select_one yes1_no0")</f>
        <v>0</v>
      </c>
    </row>
    <row r="594" spans="1:8">
      <c r="A594">
        <f>IFERROR(__xludf.DUMMYFUNCTION("""COMPUTED_VALUE"""),"11. Were missed priority diseases detected on record review?")</f>
        <v>0</v>
      </c>
      <c r="B594">
        <f>IFERROR(8M</f>
        <v>0</v>
      </c>
      <c r="D594">
        <f>IFERROR(__xludf.DUMMYFUNCTION("""COMPUTED_VALUE"""),"11. Were missed priority diseases detected on record review?")</f>
        <v>0</v>
      </c>
      <c r="H594">
        <f>IFERROR(__xludf.DUMMYFUNCTION("""COMPUTED_VALUE"""),"select_one yes1_no0")</f>
        <v>0</v>
      </c>
    </row>
    <row r="595" spans="1:8">
      <c r="A595">
        <f>IFERROR(__xludf.DUMMYFUNCTION("""COMPUTED_VALUE"""),"12. Is there evidence (smart action points with signature and signed register) of ACS/supervision by the State/LGA to the HF in the last three months?")</f>
        <v>0</v>
      </c>
      <c r="B595">
        <f>IFERROR(3C</f>
        <v>0</v>
      </c>
      <c r="D595">
        <f>IFERROR(__xludf.DUMMYFUNCTION("""COMPUTED_VALUE"""),"12. Is there evidence (smart action points with signature and signed register) of ACS/supervision by the State/LGA to the HF in the last three months?")</f>
        <v>0</v>
      </c>
      <c r="H595">
        <f>IFERROR(__xludf.DUMMYFUNCTION("""COMPUTED_VALUE"""),"select_one yes1_no0")</f>
        <v>0</v>
      </c>
    </row>
    <row r="596" spans="1:8">
      <c r="A596">
        <f>IFERROR(__xludf.DUMMYFUNCTION("""COMPUTED_VALUE"""),"13. Is there evidence (smart action points with signature and signed register) of ACS/supervision by partners in the last 3 months?")</f>
        <v>0</v>
      </c>
      <c r="B596">
        <f>IFERROR(5E</f>
        <v>0</v>
      </c>
      <c r="D596">
        <f>IFERROR(__xludf.DUMMYFUNCTION("""COMPUTED_VALUE"""),"13. Is there evidence (smart action points with signature and signed register) of ACS/supervision by partners in the last 3 months?")</f>
        <v>0</v>
      </c>
      <c r="H596">
        <f>IFERROR(__xludf.DUMMYFUNCTION("""COMPUTED_VALUE"""),"select_one yes1_no0")</f>
        <v>0</v>
      </c>
    </row>
    <row r="597" spans="1:8">
      <c r="A597">
        <f>IFERROR(__xludf.DUMMYFUNCTION("""COMPUTED_VALUE"""),"15.2 key comments")</f>
        <v>0</v>
      </c>
      <c r="B597">
        <f>IFERROR(2u</f>
        <v>0</v>
      </c>
      <c r="D597">
        <f>IFERROR(__xludf.DUMMYFUNCTION("""COMPUTED_VALUE"""),"15.2 key comments")</f>
        <v>0</v>
      </c>
      <c r="H597">
        <f>IFERROR(__xludf.DUMMYFUNCTION("""COMPUTED_VALUE"""),"text")</f>
        <v>0</v>
      </c>
    </row>
    <row r="598" spans="1:8">
      <c r="A598">
        <f>IFERROR(__xludf.DUMMYFUNCTION("""COMPUTED_VALUE"""),"15.2 action plan")</f>
        <v>0</v>
      </c>
      <c r="B598">
        <f>IFERROR(2M</f>
        <v>0</v>
      </c>
      <c r="D598">
        <f>IFERROR(__xludf.DUMMYFUNCTION("""COMPUTED_VALUE"""),"15.2 action plan")</f>
        <v>0</v>
      </c>
      <c r="H598">
        <f>IFERROR(__xludf.DUMMYFUNCTION("""COMPUTED_VALUE"""),"text")</f>
        <v>0</v>
      </c>
    </row>
    <row r="599" spans="1:8">
      <c r="A599">
        <f>IFERROR(__xludf.DUMMYFUNCTION("""COMPUTED_VALUE"""),"")</f>
        <v>0</v>
      </c>
      <c r="B599">
        <f>IFERROR(5F</f>
        <v>0</v>
      </c>
      <c r="D599">
        <f>IFERROR(__xludf.DUMMYFUNCTION("""COMPUTED_VALUE"""),"")</f>
        <v>0</v>
      </c>
      <c r="H599">
        <f>IFERROR(__xludf.DUMMYFUNCTION("""COMPUTED_VALUE"""),"calculate")</f>
        <v>0</v>
      </c>
    </row>
    <row r="600" spans="1:8">
      <c r="A600">
        <f>IFERROR(__xludf.DUMMYFUNCTION("""COMPUTED_VALUE"""),"")</f>
        <v>0</v>
      </c>
      <c r="B600">
        <f>IFERROR05M</f>
        <v>0</v>
      </c>
      <c r="D600">
        <f>IFERROR(__xludf.DUMMYFUNCTION("""COMPUTED_VALUE"""),"")</f>
        <v>0</v>
      </c>
      <c r="H600">
        <f>IFERROR(__xludf.DUMMYFUNCTION("""COMPUTED_VALUE"""),"end_group")</f>
        <v>0</v>
      </c>
    </row>
    <row r="601" spans="1:8">
      <c r="A601">
        <f>IFERROR(__xludf.DUMMYFUNCTION("""COMPUTED_VALUE"""),"15.3 Feedback and Logistics")</f>
        <v>0</v>
      </c>
      <c r="B601">
        <f>IFERROR(9u</f>
        <v>0</v>
      </c>
      <c r="D601">
        <f>IFERROR(__xludf.DUMMYFUNCTION("""COMPUTED_VALUE"""),"15.3 Feedback and Logistics")</f>
        <v>0</v>
      </c>
      <c r="H601">
        <f>IFERROR(__xludf.DUMMYFUNCTION("""COMPUTED_VALUE"""),"begin_group")</f>
        <v>0</v>
      </c>
    </row>
    <row r="602" spans="1:8">
      <c r="A602">
        <f>IFERROR(__xludf.DUMMYFUNCTION("""COMPUTED_VALUE"""),"14. Does the focal person receive regular feedback (lab results) on AFP cases and other priority diseases reported?")</f>
        <v>0</v>
      </c>
      <c r="B602">
        <f>IFERROR(2k</f>
        <v>0</v>
      </c>
      <c r="D602">
        <f>IFERROR(__xludf.DUMMYFUNCTION("""COMPUTED_VALUE"""),"14. Does the focal person receive regular feedback (lab results) on AFP cases and other priority diseases reported?")</f>
        <v>0</v>
      </c>
      <c r="H602">
        <f>IFERROR(__xludf.DUMMYFUNCTION("""COMPUTED_VALUE"""),"select_one yes1_no0")</f>
        <v>0</v>
      </c>
    </row>
    <row r="603" spans="1:8">
      <c r="A603">
        <f>IFERROR(__xludf.DUMMYFUNCTION("""COMPUTED_VALUE"""),"15. Is there case definition of priority diseases displayed?")</f>
        <v>0</v>
      </c>
      <c r="B603">
        <f>IFERROR(4x</f>
        <v>0</v>
      </c>
      <c r="D603">
        <f>IFERROR(__xludf.DUMMYFUNCTION("""COMPUTED_VALUE"""),"15. Is there case definition of priority diseases displayed?")</f>
        <v>0</v>
      </c>
      <c r="H603">
        <f>IFERROR(__xludf.DUMMYFUNCTION("""COMPUTED_VALUE"""),"select_one yes1_no0")</f>
        <v>0</v>
      </c>
    </row>
    <row r="604" spans="1:8">
      <c r="A604">
        <f>IFERROR(__xludf.DUMMYFUNCTION("""COMPUTED_VALUE"""),"16. Are posters for priority diseases available?")</f>
        <v>0</v>
      </c>
      <c r="B604">
        <f>IFERROR(6E</f>
        <v>0</v>
      </c>
      <c r="D604">
        <f>IFERROR(__xludf.DUMMYFUNCTION("""COMPUTED_VALUE"""),"16. Are posters for priority diseases available?")</f>
        <v>0</v>
      </c>
      <c r="H604">
        <f>IFERROR(__xludf.DUMMYFUNCTION("""COMPUTED_VALUE"""),"select_one yes1_no0")</f>
        <v>0</v>
      </c>
    </row>
    <row r="605" spans="1:8">
      <c r="A605">
        <f>IFERROR(__xludf.DUMMYFUNCTION("""COMPUTED_VALUE"""),"17. Are data tools available for reporting surveillance?")</f>
        <v>0</v>
      </c>
      <c r="B605">
        <f>IFERROR(7d</f>
        <v>0</v>
      </c>
      <c r="D605">
        <f>IFERROR(__xludf.DUMMYFUNCTION("""COMPUTED_VALUE"""),"17. Are data tools available for reporting surveillance?")</f>
        <v>0</v>
      </c>
      <c r="H605">
        <f>IFERROR(__xludf.DUMMYFUNCTION("""COMPUTED_VALUE"""),"select_one yes1_no0")</f>
        <v>0</v>
      </c>
    </row>
    <row r="606" spans="1:8">
      <c r="A606">
        <f>IFERROR(__xludf.DUMMYFUNCTION("""COMPUTED_VALUE"""),"18. Are AFP specimen containers available?")</f>
        <v>0</v>
      </c>
      <c r="B606">
        <f>IFERROR(2Y</f>
        <v>0</v>
      </c>
      <c r="D606">
        <f>IFERROR(__xludf.DUMMYFUNCTION("""COMPUTED_VALUE"""),"18. Are AFP specimen containers available?")</f>
        <v>0</v>
      </c>
      <c r="H606">
        <f>IFERROR(__xludf.DUMMYFUNCTION("""COMPUTED_VALUE"""),"select_one yes1_no0")</f>
        <v>0</v>
      </c>
    </row>
    <row r="607" spans="1:8">
      <c r="A607">
        <f>IFERROR(__xludf.DUMMYFUNCTION("""COMPUTED_VALUE"""),"15.3 key comments")</f>
        <v>0</v>
      </c>
      <c r="B607">
        <f>IFERROR(9W</f>
        <v>0</v>
      </c>
      <c r="D607">
        <f>IFERROR(__xludf.DUMMYFUNCTION("""COMPUTED_VALUE"""),"15.3 key comments")</f>
        <v>0</v>
      </c>
      <c r="H607">
        <f>IFERROR(__xludf.DUMMYFUNCTION("""COMPUTED_VALUE"""),"text")</f>
        <v>0</v>
      </c>
    </row>
    <row r="608" spans="1:8">
      <c r="A608">
        <f>IFERROR(__xludf.DUMMYFUNCTION("""COMPUTED_VALUE"""),"15.3 action plan")</f>
        <v>0</v>
      </c>
      <c r="B608">
        <f>IFERROR(3I</f>
        <v>0</v>
      </c>
      <c r="D608">
        <f>IFERROR(__xludf.DUMMYFUNCTION("""COMPUTED_VALUE"""),"15.3 action plan")</f>
        <v>0</v>
      </c>
      <c r="H608">
        <f>IFERROR(__xludf.DUMMYFUNCTION("""COMPUTED_VALUE"""),"text")</f>
        <v>0</v>
      </c>
    </row>
    <row r="609" spans="1:8">
      <c r="A609">
        <f>IFERROR(__xludf.DUMMYFUNCTION("""COMPUTED_VALUE"""),"")</f>
        <v>0</v>
      </c>
      <c r="B609">
        <f>IFERROR(8I</f>
        <v>0</v>
      </c>
      <c r="D609">
        <f>IFERROR(__xludf.DUMMYFUNCTION("""COMPUTED_VALUE"""),"")</f>
        <v>0</v>
      </c>
      <c r="H609">
        <f>IFERROR(__xludf.DUMMYFUNCTION("""COMPUTED_VALUE"""),"calculate")</f>
        <v>0</v>
      </c>
    </row>
    <row r="610" spans="1:8">
      <c r="A610">
        <f>IFERROR(__xludf.DUMMYFUNCTION("""COMPUTED_VALUE"""),"Section 15.4")</f>
        <v>0</v>
      </c>
      <c r="B610">
        <f>IFERROR(7j</f>
        <v>0</v>
      </c>
      <c r="D610">
        <f>IFERROR(__xludf.DUMMYFUNCTION("""COMPUTED_VALUE"""),"Section 15.4")</f>
        <v>0</v>
      </c>
      <c r="H610">
        <f>IFERROR(__xludf.DUMMYFUNCTION("""COMPUTED_VALUE"""),"begin_group")</f>
        <v>0</v>
      </c>
    </row>
    <row r="611" spans="1:8">
      <c r="A611">
        <f>IFERROR(__xludf.DUMMYFUNCTION("""COMPUTED_VALUE"""),"19. Is the clinician familiar with standard case definition of AFP, GWD, NNT, Measles, Yellow Fever and Meningitis")</f>
        <v>0</v>
      </c>
      <c r="B611">
        <f>IFERROR(7Y</f>
        <v>0</v>
      </c>
      <c r="D611">
        <f>IFERROR(__xludf.DUMMYFUNCTION("""COMPUTED_VALUE"""),"19. Is the clinician familiar with standard case definition of AFP, GWD, NNT, Measles, Yellow Fever and Meningitis")</f>
        <v>0</v>
      </c>
      <c r="H611">
        <f>IFERROR(__xludf.DUMMYFUNCTION("""COMPUTED_VALUE"""),"select_one yes6_no0")</f>
        <v>0</v>
      </c>
    </row>
    <row r="612" spans="1:8">
      <c r="A612">
        <f>IFERROR(__xludf.DUMMYFUNCTION("""COMPUTED_VALUE"""),"20. Does the clinician know the differentials of priority diseases as listed above?")</f>
        <v>0</v>
      </c>
      <c r="B612">
        <f>IFERROR(2H</f>
        <v>0</v>
      </c>
      <c r="D612">
        <f>IFERROR(__xludf.DUMMYFUNCTION("""COMPUTED_VALUE"""),"20. Does the clinician know the differentials of priority diseases as listed above?")</f>
        <v>0</v>
      </c>
      <c r="H612">
        <f>IFERROR(__xludf.DUMMYFUNCTION("""COMPUTED_VALUE"""),"select_one yes6_no0")</f>
        <v>0</v>
      </c>
    </row>
    <row r="613" spans="1:8">
      <c r="A613">
        <f>IFERROR(__xludf.DUMMYFUNCTION("""COMPUTED_VALUE"""),"21. Is there a clinic register?")</f>
        <v>0</v>
      </c>
      <c r="B613">
        <f>IFERROR(3k</f>
        <v>0</v>
      </c>
      <c r="D613">
        <f>IFERROR(__xludf.DUMMYFUNCTION("""COMPUTED_VALUE"""),"21. Is there a clinic register?")</f>
        <v>0</v>
      </c>
      <c r="H613">
        <f>IFERROR(__xludf.DUMMYFUNCTION("""COMPUTED_VALUE"""),"select_one yes1_no0")</f>
        <v>0</v>
      </c>
    </row>
    <row r="614" spans="1:8">
      <c r="A614">
        <f>IFERROR(__xludf.DUMMYFUNCTION("""COMPUTED_VALUE"""),"22. Does the clinic register contain column for diagnosis/signs and symptoms?")</f>
        <v>0</v>
      </c>
      <c r="B614">
        <f>IFERROR(7y</f>
        <v>0</v>
      </c>
      <c r="D614">
        <f>IFERROR(__xludf.DUMMYFUNCTION("""COMPUTED_VALUE"""),"22. Does the clinic register contain column for diagnosis/signs and symptoms?")</f>
        <v>0</v>
      </c>
      <c r="H614">
        <f>IFERROR(__xludf.DUMMYFUNCTION("""COMPUTED_VALUE"""),"select_one yes1_no0")</f>
        <v>0</v>
      </c>
    </row>
    <row r="615" spans="1:8">
      <c r="A615">
        <f>IFERROR(__xludf.DUMMYFUNCTION("""COMPUTED_VALUE"""),"23. Is there any evidence of ACS in the register in the last three months?")</f>
        <v>0</v>
      </c>
      <c r="B615">
        <f>IFERROR(3J</f>
        <v>0</v>
      </c>
      <c r="D615">
        <f>IFERROR(__xludf.DUMMYFUNCTION("""COMPUTED_VALUE"""),"23. Is there any evidence of ACS in the register in the last three months?")</f>
        <v>0</v>
      </c>
      <c r="H615">
        <f>IFERROR(__xludf.DUMMYFUNCTION("""COMPUTED_VALUE"""),"select_one yes1_no0")</f>
        <v>0</v>
      </c>
    </row>
    <row r="616" spans="1:8">
      <c r="A616">
        <f>IFERROR(__xludf.DUMMYFUNCTION("""COMPUTED_VALUE"""),"24. Has any of the clinicians seen any AFP case and other priority diseases in the last six months?")</f>
        <v>0</v>
      </c>
      <c r="B616">
        <f>IFERROR(3a</f>
        <v>0</v>
      </c>
      <c r="D616">
        <f>IFERROR(__xludf.DUMMYFUNCTION("""COMPUTED_VALUE"""),"24. Has any of the clinicians seen any AFP case and other priority diseases in the last six months?")</f>
        <v>0</v>
      </c>
      <c r="H616">
        <f>IFERROR(__xludf.DUMMYFUNCTION("""COMPUTED_VALUE"""),"select_one yes1_no0")</f>
        <v>0</v>
      </c>
    </row>
    <row r="617" spans="1:8">
      <c r="A617">
        <f>IFERROR(__xludf.DUMMYFUNCTION("""COMPUTED_VALUE"""),"25. Does the clinician receive regular feedback on cases reported?")</f>
        <v>0</v>
      </c>
      <c r="B617">
        <f>IFERROR(0b</f>
        <v>0</v>
      </c>
      <c r="D617">
        <f>IFERROR(__xludf.DUMMYFUNCTION("""COMPUTED_VALUE"""),"25. Does the clinician receive regular feedback on cases reported?")</f>
        <v>0</v>
      </c>
      <c r="H617">
        <f>IFERROR(__xludf.DUMMYFUNCTION("""COMPUTED_VALUE"""),"select_one yes1_no0")</f>
        <v>0</v>
      </c>
    </row>
    <row r="618" spans="1:8">
      <c r="A618">
        <f>IFERROR(__xludf.DUMMYFUNCTION("""COMPUTED_VALUE"""),"26. Is the clinician aware of the importance of timely reporting of priority diseases?")</f>
        <v>0</v>
      </c>
      <c r="B618">
        <f>IFERROR(6Q</f>
        <v>0</v>
      </c>
      <c r="D618">
        <f>IFERROR(__xludf.DUMMYFUNCTION("""COMPUTED_VALUE"""),"26. Is the clinician aware of the importance of timely reporting of priority diseases?")</f>
        <v>0</v>
      </c>
      <c r="H618">
        <f>IFERROR(__xludf.DUMMYFUNCTION("""COMPUTED_VALUE"""),"select_one yes1_no0")</f>
        <v>0</v>
      </c>
    </row>
    <row r="619" spans="1:8">
      <c r="A619">
        <f>IFERROR(__xludf.DUMMYFUNCTION("""COMPUTED_VALUE"""),"27. Is the clinician aware of the importance of active case search and the immediate reporting of AFP, GWD, NNT, Measles, Yellow Fever and Meningitis?")</f>
        <v>0</v>
      </c>
      <c r="B619">
        <f>IFERROR(1J</f>
        <v>0</v>
      </c>
      <c r="D619">
        <f>IFERROR(__xludf.DUMMYFUNCTION("""COMPUTED_VALUE"""),"27. Is the clinician aware of the importance of active case search and the immediate reporting of AFP, GWD, NNT, Measles, Yellow Fever and Meningitis?")</f>
        <v>0</v>
      </c>
      <c r="H619">
        <f>IFERROR(__xludf.DUMMYFUNCTION("""COMPUTED_VALUE"""),"select_one yes1_no0")</f>
        <v>0</v>
      </c>
    </row>
    <row r="620" spans="1:8">
      <c r="A620">
        <f>IFERROR(__xludf.DUMMYFUNCTION("""COMPUTED_VALUE"""),"15.4 key comments")</f>
        <v>0</v>
      </c>
      <c r="B620">
        <f>IFERROR(1i</f>
        <v>0</v>
      </c>
      <c r="D620">
        <f>IFERROR(__xludf.DUMMYFUNCTION("""COMPUTED_VALUE"""),"15.4 key comments")</f>
        <v>0</v>
      </c>
      <c r="H620">
        <f>IFERROR(__xludf.DUMMYFUNCTION("""COMPUTED_VALUE"""),"text")</f>
        <v>0</v>
      </c>
    </row>
    <row r="621" spans="1:8">
      <c r="A621">
        <f>IFERROR(__xludf.DUMMYFUNCTION("""COMPUTED_VALUE"""),"15.4 action plan")</f>
        <v>0</v>
      </c>
      <c r="B621">
        <f>IFERROR(4A</f>
        <v>0</v>
      </c>
      <c r="D621">
        <f>IFERROR(__xludf.DUMMYFUNCTION("""COMPUTED_VALUE"""),"15.4 action plan")</f>
        <v>0</v>
      </c>
      <c r="H621">
        <f>IFERROR(__xludf.DUMMYFUNCTION("""COMPUTED_VALUE"""),"text")</f>
        <v>0</v>
      </c>
    </row>
    <row r="622" spans="1:8">
      <c r="A622">
        <f>IFERROR(__xludf.DUMMYFUNCTION("""COMPUTED_VALUE"""),"")</f>
        <v>0</v>
      </c>
      <c r="B622">
        <f>IFERROR(5J</f>
        <v>0</v>
      </c>
      <c r="D622">
        <f>IFERROR(__xludf.DUMMYFUNCTION("""COMPUTED_VALUE"""),"")</f>
        <v>0</v>
      </c>
      <c r="H622">
        <f>IFERROR(__xludf.DUMMYFUNCTION("""COMPUTED_VALUE"""),"calculate")</f>
        <v>0</v>
      </c>
    </row>
    <row r="623" spans="1:8">
      <c r="A623">
        <f>IFERROR(__xludf.DUMMYFUNCTION("""COMPUTED_VALUE"""),"")</f>
        <v>0</v>
      </c>
      <c r="B623">
        <f>IFERROR09J</f>
        <v>0</v>
      </c>
      <c r="D623">
        <f>IFERROR(__xludf.DUMMYFUNCTION("""COMPUTED_VALUE"""),"")</f>
        <v>0</v>
      </c>
      <c r="H623">
        <f>IFERROR(__xludf.DUMMYFUNCTION("""COMPUTED_VALUE"""),"end_group")</f>
        <v>0</v>
      </c>
    </row>
    <row r="624" spans="1:8">
      <c r="A624">
        <f>IFERROR(__xludf.DUMMYFUNCTION("""COMPUTED_VALUE"""),"")</f>
        <v>0</v>
      </c>
      <c r="B624">
        <f>IFERROR05t</f>
        <v>0</v>
      </c>
      <c r="D624">
        <f>IFERROR(__xludf.DUMMYFUNCTION("""COMPUTED_VALUE"""),"")</f>
        <v>0</v>
      </c>
      <c r="H624">
        <f>IFERROR(__xludf.DUMMYFUNCTION("""COMPUTED_VALUE"""),"end_group")</f>
        <v>0</v>
      </c>
    </row>
    <row r="625" spans="1:8">
      <c r="A625">
        <f>IFERROR(__xludf.DUMMYFUNCTION("""COMPUTED_VALUE"""),"")</f>
        <v>0</v>
      </c>
      <c r="B625">
        <f>IFERROR(2s</f>
        <v>0</v>
      </c>
      <c r="D625">
        <f>IFERROR(__xludf.DUMMYFUNCTION("""COMPUTED_VALUE"""),"")</f>
        <v>0</v>
      </c>
      <c r="H625">
        <f>IFERROR(__xludf.DUMMYFUNCTION("""COMPUTED_VALUE"""),"calculate")</f>
        <v>0</v>
      </c>
    </row>
    <row r="626" spans="1:8">
      <c r="A626">
        <f>IFERROR(__xludf.DUMMYFUNCTION("""COMPUTED_VALUE"""),"")</f>
        <v>0</v>
      </c>
      <c r="B626">
        <f>IFERROR05p</f>
        <v>0</v>
      </c>
      <c r="D626">
        <f>IFERROR(__xludf.DUMMYFUNCTION("""COMPUTED_VALUE"""),"")</f>
        <v>0</v>
      </c>
      <c r="H626">
        <f>IFERROR(__xludf.DUMMYFUNCTION("""COMPUTED_VALUE"""),"end_group")</f>
        <v>0</v>
      </c>
    </row>
    <row r="627" spans="1:8">
      <c r="A627">
        <f>IFERROR(__xludf.DUMMYFUNCTION("""COMPUTED_VALUE"""),"")</f>
        <v>0</v>
      </c>
      <c r="B627">
        <f>IFERROR(0G</f>
        <v>0</v>
      </c>
      <c r="D627">
        <f>IFERROR(__xludf.DUMMYFUNCTION("""COMPUTED_VALUE"""),"")</f>
        <v>0</v>
      </c>
      <c r="H627">
        <f>IFERROR(__xludf.DUMMYFUNCTION("""COMPUTED_VALUE"""),"calculate")</f>
        <v>0</v>
      </c>
    </row>
    <row r="628" spans="1:8">
      <c r="A628">
        <f>IFERROR(__xludf.DUMMYFUNCTION("""COMPUTED_VALUE"""),"")</f>
        <v>0</v>
      </c>
      <c r="B628">
        <f>IFERROR(6A</f>
        <v>0</v>
      </c>
      <c r="D628">
        <f>IFERROR(__xludf.DUMMYFUNCTION("""COMPUTED_VALUE"""),"")</f>
        <v>0</v>
      </c>
      <c r="H628">
        <f>IFERROR(__xludf.DUMMYFUNCTION("""COMPUTED_VALUE"""),"calculate")</f>
        <v>0</v>
      </c>
    </row>
    <row r="629" spans="1:8">
      <c r="A629">
        <f>IFERROR(__xludf.DUMMYFUNCTION("""COMPUTED_VALUE"""),"Section 16. Cash Receipts for Quarter")</f>
        <v>0</v>
      </c>
      <c r="B629">
        <f>IFERROR(7c</f>
        <v>0</v>
      </c>
      <c r="D629">
        <f>IFERROR(__xludf.DUMMYFUNCTION("""COMPUTED_VALUE"""),"Section 16. Cash Receipts for Quarter")</f>
        <v>0</v>
      </c>
      <c r="H629">
        <f>IFERROR(__xludf.DUMMYFUNCTION("""COMPUTED_VALUE"""),"begin_group")</f>
        <v>0</v>
      </c>
    </row>
    <row r="630" spans="1:8">
      <c r="A630">
        <f>IFERROR(__xludf.DUMMYFUNCTION("""COMPUTED_VALUE"""),"1. Cost recovery (User-charges exclude drugs)")</f>
        <v>0</v>
      </c>
      <c r="B630">
        <f>IFERROR(5t</f>
        <v>0</v>
      </c>
      <c r="D630">
        <f>IFERROR(__xludf.DUMMYFUNCTION("""COMPUTED_VALUE"""),"1. Cost recovery (User-charges exclude drugs)")</f>
        <v>0</v>
      </c>
      <c r="H630">
        <f>IFERROR(__xludf.DUMMYFUNCTION("""COMPUTED_VALUE"""),"integer")</f>
        <v>0</v>
      </c>
    </row>
    <row r="631" spans="1:8">
      <c r="A631">
        <f>IFERROR(__xludf.DUMMYFUNCTION("""COMPUTED_VALUE"""),"2. Drug revenues")</f>
        <v>0</v>
      </c>
      <c r="B631">
        <f>IFERROR(0q</f>
        <v>0</v>
      </c>
      <c r="D631">
        <f>IFERROR(__xludf.DUMMYFUNCTION("""COMPUTED_VALUE"""),"2. Drug revenues")</f>
        <v>0</v>
      </c>
      <c r="H631">
        <f>IFERROR(__xludf.DUMMYFUNCTION("""COMPUTED_VALUE"""),"integer")</f>
        <v>0</v>
      </c>
    </row>
    <row r="632" spans="1:8">
      <c r="A632">
        <f>IFERROR(__xludf.DUMMYFUNCTION("""COMPUTED_VALUE"""),"3. Cost recovery (pre-payments)")</f>
        <v>0</v>
      </c>
      <c r="B632">
        <f>IFERROR(9i</f>
        <v>0</v>
      </c>
      <c r="D632">
        <f>IFERROR(__xludf.DUMMYFUNCTION("""COMPUTED_VALUE"""),"3. Cost recovery (pre-payments)")</f>
        <v>0</v>
      </c>
      <c r="H632">
        <f>IFERROR(__xludf.DUMMYFUNCTION("""COMPUTED_VALUE"""),"integer")</f>
        <v>0</v>
      </c>
    </row>
    <row r="633" spans="1:8">
      <c r="A633">
        <f>IFERROR(__xludf.DUMMYFUNCTION("""COMPUTED_VALUE"""),"4. Salaries from Government and other sources")</f>
        <v>0</v>
      </c>
      <c r="B633">
        <f>IFERROR(8L</f>
        <v>0</v>
      </c>
      <c r="D633">
        <f>IFERROR(__xludf.DUMMYFUNCTION("""COMPUTED_VALUE"""),"4. Salaries from Government and other sources")</f>
        <v>0</v>
      </c>
      <c r="H633">
        <f>IFERROR(__xludf.DUMMYFUNCTION("""COMPUTED_VALUE"""),"integer")</f>
        <v>0</v>
      </c>
    </row>
    <row r="634" spans="1:8">
      <c r="A634">
        <f>IFERROR(__xludf.DUMMYFUNCTION("""COMPUTED_VALUE"""),"5. PBF subsidies from fund holders")</f>
        <v>0</v>
      </c>
      <c r="B634">
        <f>IFERROR(1j</f>
        <v>0</v>
      </c>
      <c r="D634">
        <f>IFERROR(__xludf.DUMMYFUNCTION("""COMPUTED_VALUE"""),"5. PBF subsidies from fund holders")</f>
        <v>0</v>
      </c>
      <c r="H634">
        <f>IFERROR(__xludf.DUMMYFUNCTION("""COMPUTED_VALUE"""),"integer")</f>
        <v>0</v>
      </c>
    </row>
    <row r="635" spans="1:8">
      <c r="A635">
        <f>IFERROR(__xludf.DUMMYFUNCTION("""COMPUTED_VALUE"""),"6. Contributions from other sources")</f>
        <v>0</v>
      </c>
      <c r="B635">
        <f>IFERROR(2G</f>
        <v>0</v>
      </c>
      <c r="D635">
        <f>IFERROR(__xludf.DUMMYFUNCTION("""COMPUTED_VALUE"""),"6. Contributions from other sources")</f>
        <v>0</v>
      </c>
      <c r="H635">
        <f>IFERROR(__xludf.DUMMYFUNCTION("""COMPUTED_VALUE"""),"integer")</f>
        <v>0</v>
      </c>
    </row>
    <row r="636" spans="1:8">
      <c r="A636">
        <f>IFERROR(__xludf.DUMMYFUNCTION("""COMPUTED_VALUE"""),"7. Other")</f>
        <v>0</v>
      </c>
      <c r="B636">
        <f>IFERROR(1h</f>
        <v>0</v>
      </c>
      <c r="D636">
        <f>IFERROR(__xludf.DUMMYFUNCTION("""COMPUTED_VALUE"""),"7. Other")</f>
        <v>0</v>
      </c>
      <c r="H636">
        <f>IFERROR(__xludf.DUMMYFUNCTION("""COMPUTED_VALUE"""),"integer")</f>
        <v>0</v>
      </c>
    </row>
    <row r="637" spans="1:8">
      <c r="A637">
        <f>IFERROR(__xludf.DUMMYFUNCTION("""COMPUTED_VALUE"""),"")</f>
        <v>0</v>
      </c>
      <c r="B637">
        <f>IFERROR(3N</f>
        <v>0</v>
      </c>
      <c r="D637">
        <f>IFERROR(__xludf.DUMMYFUNCTION("""COMPUTED_VALUE"""),"")</f>
        <v>0</v>
      </c>
      <c r="H637">
        <f>IFERROR(__xludf.DUMMYFUNCTION("""COMPUTED_VALUE"""),"calculate")</f>
        <v>0</v>
      </c>
    </row>
    <row r="638" spans="1:8">
      <c r="A638">
        <f>IFERROR(__xludf.DUMMYFUNCTION("""COMPUTED_VALUE"""),"")</f>
        <v>0</v>
      </c>
      <c r="B638">
        <f>IFERROR02y</f>
        <v>0</v>
      </c>
      <c r="D638">
        <f>IFERROR(__xludf.DUMMYFUNCTION("""COMPUTED_VALUE"""),"")</f>
        <v>0</v>
      </c>
      <c r="H638">
        <f>IFERROR(__xludf.DUMMYFUNCTION("""COMPUTED_VALUE"""),"end_group")</f>
        <v>0</v>
      </c>
    </row>
    <row r="639" spans="1:8">
      <c r="A639">
        <f>IFERROR(__xludf.DUMMYFUNCTION("""COMPUTED_VALUE"""),"Section 17. Expenditure by Component for Quarter")</f>
        <v>0</v>
      </c>
      <c r="B639">
        <f>IFERROR(6V</f>
        <v>0</v>
      </c>
      <c r="D639">
        <f>IFERROR(__xludf.DUMMYFUNCTION("""COMPUTED_VALUE"""),"Section 17. Expenditure by Component for Quarter")</f>
        <v>0</v>
      </c>
      <c r="H639">
        <f>IFERROR(__xludf.DUMMYFUNCTION("""COMPUTED_VALUE"""),"begin_group")</f>
        <v>0</v>
      </c>
    </row>
    <row r="640" spans="1:8">
      <c r="A640">
        <f>IFERROR(__xludf.DUMMYFUNCTION("""COMPUTED_VALUE"""),"1. Salaries")</f>
        <v>0</v>
      </c>
      <c r="B640">
        <f>IFERROR(7R</f>
        <v>0</v>
      </c>
      <c r="D640">
        <f>IFERROR(__xludf.DUMMYFUNCTION("""COMPUTED_VALUE"""),"1. Salaries")</f>
        <v>0</v>
      </c>
      <c r="H640">
        <f>IFERROR(__xludf.DUMMYFUNCTION("""COMPUTED_VALUE"""),"integer")</f>
        <v>0</v>
      </c>
    </row>
    <row r="641" spans="1:8">
      <c r="A641">
        <f>IFERROR(__xludf.DUMMYFUNCTION("""COMPUTED_VALUE"""),"2. Performance bonuses")</f>
        <v>0</v>
      </c>
      <c r="B641">
        <f>IFERROR(2O</f>
        <v>0</v>
      </c>
      <c r="D641">
        <f>IFERROR(__xludf.DUMMYFUNCTION("""COMPUTED_VALUE"""),"2. Performance bonuses")</f>
        <v>0</v>
      </c>
      <c r="H641">
        <f>IFERROR(__xludf.DUMMYFUNCTION("""COMPUTED_VALUE"""),"integer")</f>
        <v>0</v>
      </c>
    </row>
    <row r="642" spans="1:8">
      <c r="A642">
        <f>IFERROR(__xludf.DUMMYFUNCTION("""COMPUTED_VALUE"""),"3. Drugs and medical consumables")</f>
        <v>0</v>
      </c>
      <c r="B642">
        <f>IFERROR(8e</f>
        <v>0</v>
      </c>
      <c r="D642">
        <f>IFERROR(__xludf.DUMMYFUNCTION("""COMPUTED_VALUE"""),"3. Drugs and medical consumables")</f>
        <v>0</v>
      </c>
      <c r="H642">
        <f>IFERROR(__xludf.DUMMYFUNCTION("""COMPUTED_VALUE"""),"integer")</f>
        <v>0</v>
      </c>
    </row>
    <row r="643" spans="1:8">
      <c r="A643">
        <f>IFERROR(__xludf.DUMMYFUNCTION("""COMPUTED_VALUE"""),"4. Subsidies for sub-contractors")</f>
        <v>0</v>
      </c>
      <c r="B643">
        <f>IFERROR(1W</f>
        <v>0</v>
      </c>
      <c r="D643">
        <f>IFERROR(__xludf.DUMMYFUNCTION("""COMPUTED_VALUE"""),"4. Subsidies for sub-contractors")</f>
        <v>0</v>
      </c>
      <c r="H643">
        <f>IFERROR(__xludf.DUMMYFUNCTION("""COMPUTED_VALUE"""),"integer")</f>
        <v>0</v>
      </c>
    </row>
    <row r="644" spans="1:8">
      <c r="A644">
        <f>IFERROR(__xludf.DUMMYFUNCTION("""COMPUTED_VALUE"""),"5. Cleaning and office costs")</f>
        <v>0</v>
      </c>
      <c r="B644">
        <f>IFERROR(4O</f>
        <v>0</v>
      </c>
      <c r="D644">
        <f>IFERROR(__xludf.DUMMYFUNCTION("""COMPUTED_VALUE"""),"5. Cleaning and office costs")</f>
        <v>0</v>
      </c>
      <c r="H644">
        <f>IFERROR(__xludf.DUMMYFUNCTION("""COMPUTED_VALUE"""),"integer")</f>
        <v>0</v>
      </c>
    </row>
    <row r="645" spans="1:8">
      <c r="A645">
        <f>IFERROR(__xludf.DUMMYFUNCTION("""COMPUTED_VALUE"""),"6. Transport costs")</f>
        <v>0</v>
      </c>
      <c r="B645">
        <f>IFERROR(2t</f>
        <v>0</v>
      </c>
      <c r="D645">
        <f>IFERROR(__xludf.DUMMYFUNCTION("""COMPUTED_VALUE"""),"6. Transport costs")</f>
        <v>0</v>
      </c>
      <c r="H645">
        <f>IFERROR(__xludf.DUMMYFUNCTION("""COMPUTED_VALUE"""),"integer")</f>
        <v>0</v>
      </c>
    </row>
    <row r="646" spans="1:8">
      <c r="A646">
        <f>IFERROR(__xludf.DUMMYFUNCTION("""COMPUTED_VALUE"""),"7. Social marketing")</f>
        <v>0</v>
      </c>
      <c r="B646">
        <f>IFERROR(4w</f>
        <v>0</v>
      </c>
      <c r="D646">
        <f>IFERROR(__xludf.DUMMYFUNCTION("""COMPUTED_VALUE"""),"7. Social marketing")</f>
        <v>0</v>
      </c>
      <c r="H646">
        <f>IFERROR(__xludf.DUMMYFUNCTION("""COMPUTED_VALUE"""),"integer")</f>
        <v>0</v>
      </c>
    </row>
    <row r="647" spans="1:8">
      <c r="A647">
        <f>IFERROR(__xludf.DUMMYFUNCTION("""COMPUTED_VALUE"""),"8. Infrastructural rehabilitation")</f>
        <v>0</v>
      </c>
      <c r="B647">
        <f>IFERROR(6c</f>
        <v>0</v>
      </c>
      <c r="D647">
        <f>IFERROR(__xludf.DUMMYFUNCTION("""COMPUTED_VALUE"""),"8. Infrastructural rehabilitation")</f>
        <v>0</v>
      </c>
      <c r="H647">
        <f>IFERROR(__xludf.DUMMYFUNCTION("""COMPUTED_VALUE"""),"integer")</f>
        <v>0</v>
      </c>
    </row>
    <row r="648" spans="1:8">
      <c r="A648">
        <f>IFERROR(__xludf.DUMMYFUNCTION("""COMPUTED_VALUE"""),"9. Equipment and furniture")</f>
        <v>0</v>
      </c>
      <c r="B648">
        <f>IFERROR(1Q</f>
        <v>0</v>
      </c>
      <c r="D648">
        <f>IFERROR(__xludf.DUMMYFUNCTION("""COMPUTED_VALUE"""),"9. Equipment and furniture")</f>
        <v>0</v>
      </c>
      <c r="H648">
        <f>IFERROR(__xludf.DUMMYFUNCTION("""COMPUTED_VALUE"""),"integer")</f>
        <v>0</v>
      </c>
    </row>
    <row r="649" spans="1:8">
      <c r="A649">
        <f>IFERROR(__xludf.DUMMYFUNCTION("""COMPUTED_VALUE"""),"10. Costs for indigent patients")</f>
        <v>0</v>
      </c>
      <c r="B649">
        <f>IFERROR(6H</f>
        <v>0</v>
      </c>
      <c r="D649">
        <f>IFERROR(__xludf.DUMMYFUNCTION("""COMPUTED_VALUE"""),"10. Costs for indigent patients")</f>
        <v>0</v>
      </c>
      <c r="H649">
        <f>IFERROR(__xludf.DUMMYFUNCTION("""COMPUTED_VALUE"""),"integer")</f>
        <v>0</v>
      </c>
    </row>
    <row r="650" spans="1:8">
      <c r="A650">
        <f>IFERROR(__xludf.DUMMYFUNCTION("""COMPUTED_VALUE"""),"11. Other (trainings, etc)")</f>
        <v>0</v>
      </c>
      <c r="B650">
        <f>IFERROR(1Y</f>
        <v>0</v>
      </c>
      <c r="D650">
        <f>IFERROR(__xludf.DUMMYFUNCTION("""COMPUTED_VALUE"""),"11. Other (trainings, etc)")</f>
        <v>0</v>
      </c>
      <c r="H650">
        <f>IFERROR(__xludf.DUMMYFUNCTION("""COMPUTED_VALUE"""),"integer")</f>
        <v>0</v>
      </c>
    </row>
    <row r="651" spans="1:8">
      <c r="A651">
        <f>IFERROR(__xludf.DUMMYFUNCTION("""COMPUTED_VALUE"""),"")</f>
        <v>0</v>
      </c>
      <c r="B651">
        <f>IFERROR(1b</f>
        <v>0</v>
      </c>
      <c r="D651">
        <f>IFERROR(__xludf.DUMMYFUNCTION("""COMPUTED_VALUE"""),"")</f>
        <v>0</v>
      </c>
      <c r="H651">
        <f>IFERROR(__xludf.DUMMYFUNCTION("""COMPUTED_VALUE"""),"calculate")</f>
        <v>0</v>
      </c>
    </row>
    <row r="652" spans="1:8">
      <c r="A652">
        <f>IFERROR(__xludf.DUMMYFUNCTION("""COMPUTED_VALUE"""),"")</f>
        <v>0</v>
      </c>
      <c r="B652">
        <f>IFERROR(1Z</f>
        <v>0</v>
      </c>
      <c r="D652">
        <f>IFERROR(__xludf.DUMMYFUNCTION("""COMPUTED_VALUE"""),"")</f>
        <v>0</v>
      </c>
      <c r="H652">
        <f>IFERROR(__xludf.DUMMYFUNCTION("""COMPUTED_VALUE"""),"calculate")</f>
        <v>0</v>
      </c>
    </row>
    <row r="653" spans="1:8">
      <c r="A653">
        <f>IFERROR(__xludf.DUMMYFUNCTION("""COMPUTED_VALUE"""),"")</f>
        <v>0</v>
      </c>
      <c r="B653">
        <f>IFERROR06M</f>
        <v>0</v>
      </c>
      <c r="D653">
        <f>IFERROR(__xludf.DUMMYFUNCTION("""COMPUTED_VALUE"""),"")</f>
        <v>0</v>
      </c>
      <c r="H653">
        <f>IFERROR(__xludf.DUMMYFUNCTION("""COMPUTED_VALUE"""),"end_group")</f>
        <v>0</v>
      </c>
    </row>
    <row r="654" spans="1:8">
      <c r="A654">
        <f>IFERROR(__xludf.DUMMYFUNCTION("""COMPUTED_VALUE"""),"Section 18. Opening Cash Balances for Quarter")</f>
        <v>0</v>
      </c>
      <c r="B654">
        <f>IFERROR(2q</f>
        <v>0</v>
      </c>
      <c r="D654">
        <f>IFERROR(__xludf.DUMMYFUNCTION("""COMPUTED_VALUE"""),"Section 18. Opening Cash Balances for Quarter")</f>
        <v>0</v>
      </c>
      <c r="H654">
        <f>IFERROR(__xludf.DUMMYFUNCTION("""COMPUTED_VALUE"""),"begin_group")</f>
        <v>0</v>
      </c>
    </row>
    <row r="655" spans="1:8">
      <c r="A655">
        <f>IFERROR(__xludf.DUMMYFUNCTION("""COMPUTED_VALUE"""),"1. Bank balance at the beginning of the quarter (Operations bank account)")</f>
        <v>0</v>
      </c>
      <c r="B655">
        <f>IFERROR(0u</f>
        <v>0</v>
      </c>
      <c r="D655">
        <f>IFERROR(__xludf.DUMMYFUNCTION("""COMPUTED_VALUE"""),"1. Bank balance at the beginning of the quarter (Operations bank account)")</f>
        <v>0</v>
      </c>
      <c r="H655">
        <f>IFERROR(__xludf.DUMMYFUNCTION("""COMPUTED_VALUE"""),"integer")</f>
        <v>0</v>
      </c>
    </row>
    <row r="656" spans="1:8">
      <c r="A656">
        <f>IFERROR(__xludf.DUMMYFUNCTION("""COMPUTED_VALUE"""),"2. Bank balance at the beginning of the quarter (Operations Drugs bank account)")</f>
        <v>0</v>
      </c>
      <c r="B656">
        <f>IFERROR(3K</f>
        <v>0</v>
      </c>
      <c r="D656">
        <f>IFERROR(__xludf.DUMMYFUNCTION("""COMPUTED_VALUE"""),"2. Bank balance at the beginning of the quarter (Operations Drugs bank account)")</f>
        <v>0</v>
      </c>
      <c r="H656">
        <f>IFERROR(__xludf.DUMMYFUNCTION("""COMPUTED_VALUE"""),"integer")</f>
        <v>0</v>
      </c>
    </row>
    <row r="657" spans="1:8">
      <c r="A657">
        <f>IFERROR(__xludf.DUMMYFUNCTION("""COMPUTED_VALUE"""),"3. Cash at hand at the beginning of the quarter")</f>
        <v>0</v>
      </c>
      <c r="B657">
        <f>IFERROR(0O</f>
        <v>0</v>
      </c>
      <c r="D657">
        <f>IFERROR(__xludf.DUMMYFUNCTION("""COMPUTED_VALUE"""),"3. Cash at hand at the beginning of the quarter")</f>
        <v>0</v>
      </c>
      <c r="H657">
        <f>IFERROR(__xludf.DUMMYFUNCTION("""COMPUTED_VALUE"""),"integer")</f>
        <v>0</v>
      </c>
    </row>
    <row r="658" spans="1:8">
      <c r="A658">
        <f>IFERROR(__xludf.DUMMYFUNCTION("""COMPUTED_VALUE"""),"")</f>
        <v>0</v>
      </c>
      <c r="B658">
        <f>IFERROR(3F</f>
        <v>0</v>
      </c>
      <c r="D658">
        <f>IFERROR(__xludf.DUMMYFUNCTION("""COMPUTED_VALUE"""),"")</f>
        <v>0</v>
      </c>
      <c r="H658">
        <f>IFERROR(__xludf.DUMMYFUNCTION("""COMPUTED_VALUE"""),"calculate")</f>
        <v>0</v>
      </c>
    </row>
    <row r="659" spans="1:8">
      <c r="A659">
        <f>IFERROR(__xludf.DUMMYFUNCTION("""COMPUTED_VALUE"""),"")</f>
        <v>0</v>
      </c>
      <c r="B659">
        <f>IFERROR05s</f>
        <v>0</v>
      </c>
      <c r="D659">
        <f>IFERROR(__xludf.DUMMYFUNCTION("""COMPUTED_VALUE"""),"")</f>
        <v>0</v>
      </c>
      <c r="H659">
        <f>IFERROR(__xludf.DUMMYFUNCTION("""COMPUTED_VALUE"""),"end_group")</f>
        <v>0</v>
      </c>
    </row>
    <row r="660" spans="1:8">
      <c r="A660">
        <f>IFERROR(__xludf.DUMMYFUNCTION("""COMPUTED_VALUE"""),"Section 19. Closing Cash Balances for Quarter")</f>
        <v>0</v>
      </c>
      <c r="B660">
        <f>IFERROR(6k</f>
        <v>0</v>
      </c>
      <c r="D660">
        <f>IFERROR(__xludf.DUMMYFUNCTION("""COMPUTED_VALUE"""),"Section 19. Closing Cash Balances for Quarter")</f>
        <v>0</v>
      </c>
      <c r="H660">
        <f>IFERROR(__xludf.DUMMYFUNCTION("""COMPUTED_VALUE"""),"begin_group")</f>
        <v>0</v>
      </c>
    </row>
    <row r="661" spans="1:8">
      <c r="A661">
        <f>IFERROR(__xludf.DUMMYFUNCTION("""COMPUTED_VALUE"""),"1. Bank balance at the end of the quarter (operation bank account)")</f>
        <v>0</v>
      </c>
      <c r="B661">
        <f>IFERROR(9K</f>
        <v>0</v>
      </c>
      <c r="D661">
        <f>IFERROR(__xludf.DUMMYFUNCTION("""COMPUTED_VALUE"""),"1. Bank balance at the end of the quarter (operation bank account)")</f>
        <v>0</v>
      </c>
      <c r="H661">
        <f>IFERROR(__xludf.DUMMYFUNCTION("""COMPUTED_VALUE"""),"integer")</f>
        <v>0</v>
      </c>
    </row>
    <row r="662" spans="1:8">
      <c r="A662">
        <f>IFERROR(__xludf.DUMMYFUNCTION("""COMPUTED_VALUE"""),"2. Bank balance at the end of the quarter (drugs bank account)")</f>
        <v>0</v>
      </c>
      <c r="B662">
        <f>IFERROR(5r</f>
        <v>0</v>
      </c>
      <c r="D662">
        <f>IFERROR(__xludf.DUMMYFUNCTION("""COMPUTED_VALUE"""),"2. Bank balance at the end of the quarter (drugs bank account)")</f>
        <v>0</v>
      </c>
      <c r="H662">
        <f>IFERROR(__xludf.DUMMYFUNCTION("""COMPUTED_VALUE"""),"integer")</f>
        <v>0</v>
      </c>
    </row>
    <row r="663" spans="1:8">
      <c r="A663">
        <f>IFERROR(__xludf.DUMMYFUNCTION("""COMPUTED_VALUE"""),"3. Cash at hand at the end of the quarter")</f>
        <v>0</v>
      </c>
      <c r="B663">
        <f>IFERROR(6U</f>
        <v>0</v>
      </c>
      <c r="D663">
        <f>IFERROR(__xludf.DUMMYFUNCTION("""COMPUTED_VALUE"""),"3. Cash at hand at the end of the quarter")</f>
        <v>0</v>
      </c>
      <c r="H663">
        <f>IFERROR(__xludf.DUMMYFUNCTION("""COMPUTED_VALUE"""),"integer")</f>
        <v>0</v>
      </c>
    </row>
    <row r="664" spans="1:8">
      <c r="A664">
        <f>IFERROR(__xludf.DUMMYFUNCTION("""COMPUTED_VALUE"""),"")</f>
        <v>0</v>
      </c>
      <c r="B664">
        <f>IFERROR(7y</f>
        <v>0</v>
      </c>
      <c r="D664">
        <f>IFERROR(__xludf.DUMMYFUNCTION("""COMPUTED_VALUE"""),"")</f>
        <v>0</v>
      </c>
      <c r="H664">
        <f>IFERROR(__xludf.DUMMYFUNCTION("""COMPUTED_VALUE"""),"calculate")</f>
        <v>0</v>
      </c>
    </row>
    <row r="665" spans="1:8">
      <c r="A665">
        <f>IFERROR(__xludf.DUMMYFUNCTION("""COMPUTED_VALUE"""),"")</f>
        <v>0</v>
      </c>
      <c r="B665">
        <f>IFERROR05N</f>
        <v>0</v>
      </c>
      <c r="D665">
        <f>IFERROR(__xludf.DUMMYFUNCTION("""COMPUTED_VALUE"""),"")</f>
        <v>0</v>
      </c>
      <c r="H665">
        <f>IFERROR(__xludf.DUMMYFUNCTION("""COMPUTED_VALUE"""),"end_group")</f>
        <v>0</v>
      </c>
    </row>
    <row r="666" spans="1:8">
      <c r="A666">
        <f>IFERROR(__xludf.DUMMYFUNCTION("""COMPUTED_VALUE"""),"Section 20 Summary of Financials")</f>
        <v>0</v>
      </c>
      <c r="B666">
        <f>IFERROR(8G</f>
        <v>0</v>
      </c>
      <c r="D666">
        <f>IFERROR(__xludf.DUMMYFUNCTION("""COMPUTED_VALUE"""),"Section 20 Summary of Financials")</f>
        <v>0</v>
      </c>
      <c r="H666">
        <f>IFERROR(__xludf.DUMMYFUNCTION("""COMPUTED_VALUE"""),"hidden")</f>
        <v>0</v>
      </c>
    </row>
    <row r="667" spans="1:8">
      <c r="A667">
        <f>IFERROR(__xludf.DUMMYFUNCTION("""COMPUTED_VALUE"""),"1. Total Financing (A) is: ₦${TotalFinanc}")</f>
        <v>0</v>
      </c>
      <c r="B667">
        <f>IFERROR(8F</f>
        <v>0</v>
      </c>
      <c r="D667">
        <f>IFERROR(__xludf.DUMMYFUNCTION("""COMPUTED_VALUE"""),"1. Total Financing (A) is: ₦${TotalFinanc}")</f>
        <v>0</v>
      </c>
      <c r="H667">
        <f>IFERROR(__xludf.DUMMYFUNCTION("""COMPUTED_VALUE"""),"hidden")</f>
        <v>0</v>
      </c>
    </row>
    <row r="668" spans="1:8">
      <c r="A668">
        <f>IFERROR(__xludf.DUMMYFUNCTION("""COMPUTED_VALUE"""),"2. Total Expenditure (B) is: ₦${TotalExpens}")</f>
        <v>0</v>
      </c>
      <c r="B668">
        <f>IFERROR(1r</f>
        <v>0</v>
      </c>
      <c r="D668">
        <f>IFERROR(__xludf.DUMMYFUNCTION("""COMPUTED_VALUE"""),"2. Total Expenditure (B) is: ₦${TotalExpens}")</f>
        <v>0</v>
      </c>
      <c r="H668">
        <f>IFERROR(__xludf.DUMMYFUNCTION("""COMPUTED_VALUE"""),"hidden")</f>
        <v>0</v>
      </c>
    </row>
    <row r="669" spans="1:8">
      <c r="A669">
        <f>IFERROR(__xludf.DUMMYFUNCTION("""COMPUTED_VALUE"""),"3. Net Change in Cash (C = A - B) is: ₦${NetChngCash}")</f>
        <v>0</v>
      </c>
      <c r="B669">
        <f>IFERROR(5y</f>
        <v>0</v>
      </c>
      <c r="D669">
        <f>IFERROR(__xludf.DUMMYFUNCTION("""COMPUTED_VALUE"""),"3. Net Change in Cash (C = A - B) is: ₦${NetChngCash}")</f>
        <v>0</v>
      </c>
      <c r="H669">
        <f>IFERROR(__xludf.DUMMYFUNCTION("""COMPUTED_VALUE"""),"hidden")</f>
        <v>0</v>
      </c>
    </row>
    <row r="670" spans="1:8">
      <c r="A670">
        <f>IFERROR(__xludf.DUMMYFUNCTION("""COMPUTED_VALUE"""),"4. Net Cash Available (D) is: ₦${NetCashAvai}")</f>
        <v>0</v>
      </c>
      <c r="B670">
        <f>IFERROR(1V</f>
        <v>0</v>
      </c>
      <c r="D670">
        <f>IFERROR(__xludf.DUMMYFUNCTION("""COMPUTED_VALUE"""),"4. Net Cash Available (D) is: ₦${NetCashAvai}")</f>
        <v>0</v>
      </c>
      <c r="H670">
        <f>IFERROR(__xludf.DUMMYFUNCTION("""COMPUTED_VALUE"""),"hidden")</f>
        <v>0</v>
      </c>
    </row>
    <row r="671" spans="1:8">
      <c r="A671">
        <f>IFERROR(__xludf.DUMMYFUNCTION("""COMPUTED_VALUE"""),"5. Total closing Cash Balance (E) is: ₦${TotCashBalE}")</f>
        <v>0</v>
      </c>
      <c r="B671">
        <f>IFERROR(7E</f>
        <v>0</v>
      </c>
      <c r="D671">
        <f>IFERROR(__xludf.DUMMYFUNCTION("""COMPUTED_VALUE"""),"5. Total closing Cash Balance (E) is: ₦${TotCashBalE}")</f>
        <v>0</v>
      </c>
      <c r="H671">
        <f>IFERROR(__xludf.DUMMYFUNCTION("""COMPUTED_VALUE"""),"hidden")</f>
        <v>0</v>
      </c>
    </row>
    <row r="672" spans="1:8">
      <c r="A672">
        <f>IFERROR(__xludf.DUMMYFUNCTION("""COMPUTED_VALUE"""),"")</f>
        <v>0</v>
      </c>
      <c r="B672">
        <f>IFERROR07r</f>
        <v>0</v>
      </c>
      <c r="D672">
        <f>IFERROR(__xludf.DUMMYFUNCTION("""COMPUTED_VALUE"""),"")</f>
        <v>0</v>
      </c>
      <c r="H672">
        <f>IFERROR(__xludf.DUMMYFUNCTION("""COMPUTED_VALUE"""),"")</f>
        <v>0</v>
      </c>
    </row>
    <row r="673" spans="1:8">
      <c r="A673">
        <f>IFERROR(__xludf.DUMMYFUNCTION("""COMPUTED_VALUE"""),"Section 21 **Summary**")</f>
        <v>0</v>
      </c>
      <c r="B673">
        <f>IFERROR(1u</f>
        <v>0</v>
      </c>
      <c r="D673">
        <f>IFERROR(__xludf.DUMMYFUNCTION("""COMPUTED_VALUE"""),"Section 21 **Summary**")</f>
        <v>0</v>
      </c>
      <c r="H673">
        <f>IFERROR(__xludf.DUMMYFUNCTION("""COMPUTED_VALUE"""),"hidden")</f>
        <v>0</v>
      </c>
    </row>
    <row r="674" spans="1:8">
      <c r="A674">
        <f>IFERROR(__xludf.DUMMYFUNCTION("""COMPUTED_VALUE"""),"1. General Management = ${GenManAdmSc}")</f>
        <v>0</v>
      </c>
      <c r="B674">
        <f>IFERROR(0O</f>
        <v>0</v>
      </c>
      <c r="D674">
        <f>IFERROR(__xludf.DUMMYFUNCTION("""COMPUTED_VALUE"""),"1. General Management = ${GenManAdmSc}")</f>
        <v>0</v>
      </c>
      <c r="H674">
        <f>IFERROR(__xludf.DUMMYFUNCTION("""COMPUTED_VALUE"""),"hidden")</f>
        <v>0</v>
      </c>
    </row>
    <row r="675" spans="1:8">
      <c r="A675">
        <f>IFERROR(__xludf.DUMMYFUNCTION("""COMPUTED_VALUE"""),"2. Business Plan = ${BizPlanScor}")</f>
        <v>0</v>
      </c>
      <c r="B675">
        <f>IFERROR(9G</f>
        <v>0</v>
      </c>
      <c r="D675">
        <f>IFERROR(__xludf.DUMMYFUNCTION("""COMPUTED_VALUE"""),"2. Business Plan = ${BizPlanScor}")</f>
        <v>0</v>
      </c>
      <c r="H675">
        <f>IFERROR(__xludf.DUMMYFUNCTION("""COMPUTED_VALUE"""),"hidden")</f>
        <v>0</v>
      </c>
    </row>
    <row r="676" spans="1:8">
      <c r="A676">
        <f>IFERROR(__xludf.DUMMYFUNCTION("""COMPUTED_VALUE"""),"3. Finance = ${FinancScore}")</f>
        <v>0</v>
      </c>
      <c r="B676">
        <f>IFERROR(8p</f>
        <v>0</v>
      </c>
      <c r="D676">
        <f>IFERROR(__xludf.DUMMYFUNCTION("""COMPUTED_VALUE"""),"3. Finance = ${FinancScore}")</f>
        <v>0</v>
      </c>
      <c r="H676">
        <f>IFERROR(__xludf.DUMMYFUNCTION("""COMPUTED_VALUE"""),"hidden")</f>
        <v>0</v>
      </c>
    </row>
    <row r="677" spans="1:8">
      <c r="A677">
        <f>IFERROR(__xludf.DUMMYFUNCTION("""COMPUTED_VALUE"""),"4. Social Welfare Committee = ${IndiComScor}")</f>
        <v>0</v>
      </c>
      <c r="B677">
        <f>IFERROR(2g</f>
        <v>0</v>
      </c>
      <c r="D677">
        <f>IFERROR(__xludf.DUMMYFUNCTION("""COMPUTED_VALUE"""),"4. Social Welfare Committee = ${IndiComScor}")</f>
        <v>0</v>
      </c>
      <c r="H677">
        <f>IFERROR(__xludf.DUMMYFUNCTION("""COMPUTED_VALUE"""),"hidden")</f>
        <v>0</v>
      </c>
    </row>
    <row r="678" spans="1:8">
      <c r="A678">
        <f>IFERROR(__xludf.DUMMYFUNCTION("""COMPUTED_VALUE"""),"5. Hygiene = ${HygMedWasCl}")</f>
        <v>0</v>
      </c>
      <c r="B678">
        <f>IFERROR(4U</f>
        <v>0</v>
      </c>
      <c r="D678">
        <f>IFERROR(__xludf.DUMMYFUNCTION("""COMPUTED_VALUE"""),"5. Hygiene = ${HygMedWasCl}")</f>
        <v>0</v>
      </c>
      <c r="H678">
        <f>IFERROR(__xludf.DUMMYFUNCTION("""COMPUTED_VALUE"""),"hidden")</f>
        <v>0</v>
      </c>
    </row>
    <row r="679" spans="1:8">
      <c r="A679">
        <f>IFERROR(__xludf.DUMMYFUNCTION("""COMPUTED_VALUE"""),"6. OPD = ${ConsulScore}")</f>
        <v>0</v>
      </c>
      <c r="B679">
        <f>IFERROR(6L</f>
        <v>0</v>
      </c>
      <c r="D679">
        <f>IFERROR(__xludf.DUMMYFUNCTION("""COMPUTED_VALUE"""),"6. OPD = ${ConsulScore}")</f>
        <v>0</v>
      </c>
      <c r="H679">
        <f>IFERROR(__xludf.DUMMYFUNCTION("""COMPUTED_VALUE"""),"hidden")</f>
        <v>0</v>
      </c>
    </row>
    <row r="680" spans="1:8">
      <c r="A680">
        <f>IFERROR(__xludf.DUMMYFUNCTION("""COMPUTED_VALUE"""),"7. Family Planning = ${FamPlanScor}")</f>
        <v>0</v>
      </c>
      <c r="B680">
        <f>IFERROR(8a</f>
        <v>0</v>
      </c>
      <c r="D680">
        <f>IFERROR(__xludf.DUMMYFUNCTION("""COMPUTED_VALUE"""),"7. Family Planning = ${FamPlanScor}")</f>
        <v>0</v>
      </c>
      <c r="H680">
        <f>IFERROR(__xludf.DUMMYFUNCTION("""COMPUTED_VALUE"""),"hidden")</f>
        <v>0</v>
      </c>
    </row>
    <row r="681" spans="1:8">
      <c r="A681">
        <f>IFERROR(__xludf.DUMMYFUNCTION("""COMPUTED_VALUE"""),"8. Laboratory = ${LaboraScore}")</f>
        <v>0</v>
      </c>
      <c r="B681">
        <f>IFERROR(2N</f>
        <v>0</v>
      </c>
      <c r="D681">
        <f>IFERROR(__xludf.DUMMYFUNCTION("""COMPUTED_VALUE"""),"8. Laboratory = ${LaboraScore}")</f>
        <v>0</v>
      </c>
      <c r="H681">
        <f>IFERROR(__xludf.DUMMYFUNCTION("""COMPUTED_VALUE"""),"hidden")</f>
        <v>0</v>
      </c>
    </row>
    <row r="682" spans="1:8">
      <c r="A682">
        <f>IFERROR(__xludf.DUMMYFUNCTION("""COMPUTED_VALUE"""),"9. Inpatient Wards = ${InPatScore0}")</f>
        <v>0</v>
      </c>
      <c r="B682">
        <f>IFERROR(9q</f>
        <v>0</v>
      </c>
      <c r="D682">
        <f>IFERROR(__xludf.DUMMYFUNCTION("""COMPUTED_VALUE"""),"9. Inpatient Wards = ${InPatScore0}")</f>
        <v>0</v>
      </c>
      <c r="H682">
        <f>IFERROR(__xludf.DUMMYFUNCTION("""COMPUTED_VALUE"""),"hidden")</f>
        <v>0</v>
      </c>
    </row>
    <row r="683" spans="1:8">
      <c r="A683">
        <f>IFERROR(__xludf.DUMMYFUNCTION("""COMPUTED_VALUE"""),"10. Essential Drugs Management = ${EssDrugScor}")</f>
        <v>0</v>
      </c>
      <c r="B683">
        <f>IFERROR(7v</f>
        <v>0</v>
      </c>
      <c r="D683">
        <f>IFERROR(__xludf.DUMMYFUNCTION("""COMPUTED_VALUE"""),"10. Essential Drugs Management = ${EssDrugScor}")</f>
        <v>0</v>
      </c>
      <c r="H683">
        <f>IFERROR(__xludf.DUMMYFUNCTION("""COMPUTED_VALUE"""),"hidden")</f>
        <v>0</v>
      </c>
    </row>
    <row r="684" spans="1:8">
      <c r="A684">
        <f>IFERROR(__xludf.DUMMYFUNCTION("""COMPUTED_VALUE"""),"11. Maternity = ${MaternitCal}")</f>
        <v>0</v>
      </c>
      <c r="B684">
        <f>IFERROR(5C</f>
        <v>0</v>
      </c>
      <c r="D684">
        <f>IFERROR(__xludf.DUMMYFUNCTION("""COMPUTED_VALUE"""),"11. Maternity = ${MaternitCal}")</f>
        <v>0</v>
      </c>
      <c r="H684">
        <f>IFERROR(__xludf.DUMMYFUNCTION("""COMPUTED_VALUE"""),"hidden")</f>
        <v>0</v>
      </c>
    </row>
    <row r="685" spans="1:8">
      <c r="A685">
        <f>IFERROR(__xludf.DUMMYFUNCTION("""COMPUTED_VALUE"""),"12. ANC = ${AntenatScor}")</f>
        <v>0</v>
      </c>
      <c r="B685">
        <f>IFERROR(3L</f>
        <v>0</v>
      </c>
      <c r="D685">
        <f>IFERROR(__xludf.DUMMYFUNCTION("""COMPUTED_VALUE"""),"12. ANC = ${AntenatScor}")</f>
        <v>0</v>
      </c>
      <c r="H685">
        <f>IFERROR(__xludf.DUMMYFUNCTION("""COMPUTED_VALUE"""),"hidden")</f>
        <v>0</v>
      </c>
    </row>
    <row r="686" spans="1:8">
      <c r="A686">
        <f>IFERROR(__xludf.DUMMYFUNCTION("""COMPUTED_VALUE"""),"13. HIV/TB = ${HIVTBScore0}")</f>
        <v>0</v>
      </c>
      <c r="B686">
        <f>IFERROR(6a</f>
        <v>0</v>
      </c>
      <c r="D686">
        <f>IFERROR(__xludf.DUMMYFUNCTION("""COMPUTED_VALUE"""),"13. HIV/TB = ${HIVTBScore0}")</f>
        <v>0</v>
      </c>
      <c r="H686">
        <f>IFERROR(__xludf.DUMMYFUNCTION("""COMPUTED_VALUE"""),"hidden")</f>
        <v>0</v>
      </c>
    </row>
    <row r="687" spans="1:8">
      <c r="A687">
        <f>IFERROR(__xludf.DUMMYFUNCTION("""COMPUTED_VALUE"""),"14. Surgery = ${SurgeryCalc}")</f>
        <v>0</v>
      </c>
      <c r="B687">
        <f>IFERROR(3y</f>
        <v>0</v>
      </c>
      <c r="D687">
        <f>IFERROR(__xludf.DUMMYFUNCTION("""COMPUTED_VALUE"""),"14. Surgery = ${SurgeryCalc}")</f>
        <v>0</v>
      </c>
      <c r="H687">
        <f>IFERROR(__xludf.DUMMYFUNCTION("""COMPUTED_VALUE"""),"hidden")</f>
        <v>0</v>
      </c>
    </row>
    <row r="688" spans="1:8">
      <c r="A688">
        <f>IFERROR(__xludf.DUMMYFUNCTION("""COMPUTED_VALUE"""),"15. Immunization = ${ImmunoCalcu}")</f>
        <v>0</v>
      </c>
      <c r="B688">
        <f>IFERROR(9S</f>
        <v>0</v>
      </c>
      <c r="D688">
        <f>IFERROR(__xludf.DUMMYFUNCTION("""COMPUTED_VALUE"""),"15. Immunization = ${ImmunoCalcu}")</f>
        <v>0</v>
      </c>
      <c r="H688">
        <f>IFERROR(__xludf.DUMMYFUNCTION("""COMPUTED_VALUE"""),"hidden")</f>
        <v>0</v>
      </c>
    </row>
    <row r="689" spans="1:8">
      <c r="A689">
        <f>IFERROR(__xludf.DUMMYFUNCTION("""COMPUTED_VALUE"""),"16. ChildHealth = ${ChildhealtS}")</f>
        <v>0</v>
      </c>
      <c r="B689">
        <f>IFERROR(0o</f>
        <v>0</v>
      </c>
      <c r="D689">
        <f>IFERROR(__xludf.DUMMYFUNCTION("""COMPUTED_VALUE"""),"16. ChildHealth = ${ChildhealtS}")</f>
        <v>0</v>
      </c>
      <c r="H689">
        <f>IFERROR(__xludf.DUMMYFUNCTION("""COMPUTED_VALUE"""),"hidden")</f>
        <v>0</v>
      </c>
    </row>
    <row r="690" spans="1:8">
      <c r="A690">
        <f>IFERROR(__xludf.DUMMYFUNCTION("""COMPUTED_VALUE"""),"17. Survellance = ${Suvellcalcu}")</f>
        <v>0</v>
      </c>
      <c r="B690">
        <f>IFERROR(7J</f>
        <v>0</v>
      </c>
      <c r="D690">
        <f>IFERROR(__xludf.DUMMYFUNCTION("""COMPUTED_VALUE"""),"17. Survellance = ${Suvellcalcu}")</f>
        <v>0</v>
      </c>
      <c r="H690">
        <f>IFERROR(__xludf.DUMMYFUNCTION("""COMPUTED_VALUE"""),"hidden")</f>
        <v>0</v>
      </c>
    </row>
    <row r="691" spans="1:8">
      <c r="A691">
        <f>IFERROR(__xludf.DUMMYFUNCTION("""COMPUTED_VALUE"""),"18. **Grand Total = ${GrandSummat} out of a Maximum 814.5 points**")</f>
        <v>0</v>
      </c>
      <c r="B691">
        <f>IFERROR(0Y</f>
        <v>0</v>
      </c>
      <c r="D691">
        <f>IFERROR(__xludf.DUMMYFUNCTION("""COMPUTED_VALUE"""),"18. **Grand Total = ${GrandSummat} out of a Maximum 814.5 points**")</f>
        <v>0</v>
      </c>
      <c r="H691">
        <f>IFERROR(__xludf.DUMMYFUNCTION("""COMPUTED_VALUE"""),"hidden")</f>
        <v>0</v>
      </c>
    </row>
    <row r="692" spans="1:8">
      <c r="A692">
        <f>IFERROR(__xludf.DUMMYFUNCTION("""COMPUTED_VALUE"""),"19. **Percentage score for HF is: ${GranPercent}%**")</f>
        <v>0</v>
      </c>
      <c r="B692">
        <f>IFERROR(9G</f>
        <v>0</v>
      </c>
      <c r="D692">
        <f>IFERROR(__xludf.DUMMYFUNCTION("""COMPUTED_VALUE"""),"19. **Percentage score for HF is: ${GranPercent}%**")</f>
        <v>0</v>
      </c>
      <c r="H692">
        <f>IFERROR(__xludf.DUMMYFUNCTION("""COMPUTED_VALUE"""),"hidden")</f>
        <v>0</v>
      </c>
    </row>
    <row r="693" spans="1:8">
      <c r="A693">
        <f>IFERROR(__xludf.DUMMYFUNCTION("""COMPUTED_VALUE"""),"")</f>
        <v>0</v>
      </c>
      <c r="B693">
        <f>IFERROR01C</f>
        <v>0</v>
      </c>
      <c r="D693">
        <f>IFERROR(__xludf.DUMMYFUNCTION("""COMPUTED_VALUE"""),"")</f>
        <v>0</v>
      </c>
      <c r="H693">
        <f>IFERROR(__xludf.DUMMYFUNCTION("""COMPUTED_VALUE"""),"")</f>
        <v>0</v>
      </c>
    </row>
    <row r="694" spans="1:8">
      <c r="A694">
        <f>IFERROR(__xludf.DUMMYFUNCTION("""COMPUTED_VALUE"""),"Names of Enumerators")</f>
        <v>0</v>
      </c>
      <c r="B694">
        <f>IFERROR06X</f>
        <v>0</v>
      </c>
      <c r="D694">
        <f>IFERROR(__xludf.DUMMYFUNCTION("""COMPUTED_VALUE"""),"Names of Enumerators")</f>
        <v>0</v>
      </c>
      <c r="H694">
        <f>IFERROR(__xludf.DUMMYFUNCTION("""COMPUTED_VALUE"""),"begin_group")</f>
        <v>0</v>
      </c>
    </row>
    <row r="695" spans="1:8">
      <c r="A695">
        <f>IFERROR(__xludf.DUMMYFUNCTION("""COMPUTED_VALUE"""),"1st Enumerator name")</f>
        <v>0</v>
      </c>
      <c r="B695">
        <f>IFERROR(8p</f>
        <v>0</v>
      </c>
      <c r="D695">
        <f>IFERROR(__xludf.DUMMYFUNCTION("""COMPUTED_VALUE"""),"1st Enumerator name")</f>
        <v>0</v>
      </c>
      <c r="H695">
        <f>IFERROR(__xludf.DUMMYFUNCTION("""COMPUTED_VALUE"""),"text")</f>
        <v>0</v>
      </c>
    </row>
    <row r="696" spans="1:8">
      <c r="A696">
        <f>IFERROR(__xludf.DUMMYFUNCTION("""COMPUTED_VALUE"""),"1st Enumerator organization")</f>
        <v>0</v>
      </c>
      <c r="B696">
        <f>IFERROR(6A</f>
        <v>0</v>
      </c>
      <c r="D696">
        <f>IFERROR(__xludf.DUMMYFUNCTION("""COMPUTED_VALUE"""),"1st Enumerator organization")</f>
        <v>0</v>
      </c>
      <c r="H696">
        <f>IFERROR(__xludf.DUMMYFUNCTION("""COMPUTED_VALUE"""),"select_one organizations")</f>
        <v>0</v>
      </c>
    </row>
    <row r="697" spans="1:8">
      <c r="A697">
        <f>IFERROR(__xludf.DUMMYFUNCTION("""COMPUTED_VALUE"""),"1st Enumerator phone number")</f>
        <v>0</v>
      </c>
      <c r="B697">
        <f>IFERROR(3T</f>
        <v>0</v>
      </c>
      <c r="D697">
        <f>IFERROR(__xludf.DUMMYFUNCTION("""COMPUTED_VALUE"""),"1st Enumerator phone number")</f>
        <v>0</v>
      </c>
      <c r="H697">
        <f>IFERROR(__xludf.DUMMYFUNCTION("""COMPUTED_VALUE"""),"text")</f>
        <v>0</v>
      </c>
    </row>
    <row r="698" spans="1:8">
      <c r="A698">
        <f>IFERROR(__xludf.DUMMYFUNCTION("""COMPUTED_VALUE"""),"2nd Enumerator name")</f>
        <v>0</v>
      </c>
      <c r="B698">
        <f>IFERROR(9x</f>
        <v>0</v>
      </c>
      <c r="D698">
        <f>IFERROR(__xludf.DUMMYFUNCTION("""COMPUTED_VALUE"""),"2nd Enumerator name")</f>
        <v>0</v>
      </c>
      <c r="H698">
        <f>IFERROR(__xludf.DUMMYFUNCTION("""COMPUTED_VALUE"""),"text")</f>
        <v>0</v>
      </c>
    </row>
    <row r="699" spans="1:8">
      <c r="A699">
        <f>IFERROR(__xludf.DUMMYFUNCTION("""COMPUTED_VALUE"""),"2nd Enumerator organization")</f>
        <v>0</v>
      </c>
      <c r="B699">
        <f>IFERROR(4j</f>
        <v>0</v>
      </c>
      <c r="D699">
        <f>IFERROR(__xludf.DUMMYFUNCTION("""COMPUTED_VALUE"""),"2nd Enumerator organization")</f>
        <v>0</v>
      </c>
      <c r="H699">
        <f>IFERROR(__xludf.DUMMYFUNCTION("""COMPUTED_VALUE"""),"select_one organizations")</f>
        <v>0</v>
      </c>
    </row>
    <row r="700" spans="1:8">
      <c r="A700">
        <f>IFERROR(__xludf.DUMMYFUNCTION("""COMPUTED_VALUE"""),"2nd Enumerator phone number")</f>
        <v>0</v>
      </c>
      <c r="B700">
        <f>IFERROR(0s</f>
        <v>0</v>
      </c>
      <c r="D700">
        <f>IFERROR(__xludf.DUMMYFUNCTION("""COMPUTED_VALUE"""),"2nd Enumerator phone number")</f>
        <v>0</v>
      </c>
      <c r="H700">
        <f>IFERROR(__xludf.DUMMYFUNCTION("""COMPUTED_VALUE"""),"text")</f>
        <v>0</v>
      </c>
    </row>
    <row r="701" spans="1:8">
      <c r="A701">
        <f>IFERROR(__xludf.DUMMYFUNCTION("""COMPUTED_VALUE"""),"3rd Enumerator name")</f>
        <v>0</v>
      </c>
      <c r="B701">
        <f>IFERROR(7J</f>
        <v>0</v>
      </c>
      <c r="D701">
        <f>IFERROR(__xludf.DUMMYFUNCTION("""COMPUTED_VALUE"""),"3rd Enumerator name")</f>
        <v>0</v>
      </c>
      <c r="H701">
        <f>IFERROR(__xludf.DUMMYFUNCTION("""COMPUTED_VALUE"""),"text")</f>
        <v>0</v>
      </c>
    </row>
    <row r="702" spans="1:8">
      <c r="A702">
        <f>IFERROR(__xludf.DUMMYFUNCTION("""COMPUTED_VALUE"""),"3rd Enumerator organization")</f>
        <v>0</v>
      </c>
      <c r="B702">
        <f>IFERROR(3g</f>
        <v>0</v>
      </c>
      <c r="D702">
        <f>IFERROR(__xludf.DUMMYFUNCTION("""COMPUTED_VALUE"""),"3rd Enumerator organization")</f>
        <v>0</v>
      </c>
      <c r="H702">
        <f>IFERROR(__xludf.DUMMYFUNCTION("""COMPUTED_VALUE"""),"select_one organizations")</f>
        <v>0</v>
      </c>
    </row>
    <row r="703" spans="1:8">
      <c r="A703">
        <f>IFERROR(__xludf.DUMMYFUNCTION("""COMPUTED_VALUE"""),"3rd Enumerator phone number")</f>
        <v>0</v>
      </c>
      <c r="B703">
        <f>IFERROR(6a</f>
        <v>0</v>
      </c>
      <c r="D703">
        <f>IFERROR(__xludf.DUMMYFUNCTION("""COMPUTED_VALUE"""),"3rd Enumerator phone number")</f>
        <v>0</v>
      </c>
      <c r="H703">
        <f>IFERROR(__xludf.DUMMYFUNCTION("""COMPUTED_VALUE"""),"text")</f>
        <v>0</v>
      </c>
    </row>
    <row r="704" spans="1:8">
      <c r="A704">
        <f>IFERROR(__xludf.DUMMYFUNCTION("""COMPUTED_VALUE"""),"4th Enumerator name")</f>
        <v>0</v>
      </c>
      <c r="B704">
        <f>IFERROR(2X</f>
        <v>0</v>
      </c>
      <c r="D704">
        <f>IFERROR(__xludf.DUMMYFUNCTION("""COMPUTED_VALUE"""),"4th Enumerator name")</f>
        <v>0</v>
      </c>
      <c r="H704">
        <f>IFERROR(__xludf.DUMMYFUNCTION("""COMPUTED_VALUE"""),"text")</f>
        <v>0</v>
      </c>
    </row>
    <row r="705" spans="1:8">
      <c r="A705">
        <f>IFERROR(__xludf.DUMMYFUNCTION("""COMPUTED_VALUE"""),"4th Enumerator organization")</f>
        <v>0</v>
      </c>
      <c r="B705">
        <f>IFERROR(4z</f>
        <v>0</v>
      </c>
      <c r="D705">
        <f>IFERROR(__xludf.DUMMYFUNCTION("""COMPUTED_VALUE"""),"4th Enumerator organization")</f>
        <v>0</v>
      </c>
      <c r="H705">
        <f>IFERROR(__xludf.DUMMYFUNCTION("""COMPUTED_VALUE"""),"select_one organizations")</f>
        <v>0</v>
      </c>
    </row>
    <row r="706" spans="1:8">
      <c r="A706">
        <f>IFERROR(__xludf.DUMMYFUNCTION("""COMPUTED_VALUE"""),"4th Enumerator phone number")</f>
        <v>0</v>
      </c>
      <c r="B706">
        <f>IFERROR(8l</f>
        <v>0</v>
      </c>
      <c r="D706">
        <f>IFERROR(__xludf.DUMMYFUNCTION("""COMPUTED_VALUE"""),"4th Enumerator phone number")</f>
        <v>0</v>
      </c>
      <c r="H706">
        <f>IFERROR(__xludf.DUMMYFUNCTION("""COMPUTED_VALUE"""),"text")</f>
        <v>0</v>
      </c>
    </row>
    <row r="707" spans="1:8">
      <c r="A707">
        <f>IFERROR(__xludf.DUMMYFUNCTION("""COMPUTED_VALUE"""),"5th Enumerator name")</f>
        <v>0</v>
      </c>
      <c r="B707">
        <f>IFERROR(2R</f>
        <v>0</v>
      </c>
      <c r="D707">
        <f>IFERROR(__xludf.DUMMYFUNCTION("""COMPUTED_VALUE"""),"5th Enumerator name")</f>
        <v>0</v>
      </c>
      <c r="H707">
        <f>IFERROR(__xludf.DUMMYFUNCTION("""COMPUTED_VALUE"""),"text")</f>
        <v>0</v>
      </c>
    </row>
    <row r="708" spans="1:8">
      <c r="A708">
        <f>IFERROR(__xludf.DUMMYFUNCTION("""COMPUTED_VALUE"""),"5th Enumerator organization")</f>
        <v>0</v>
      </c>
      <c r="B708">
        <f>IFERROR(2p</f>
        <v>0</v>
      </c>
      <c r="D708">
        <f>IFERROR(__xludf.DUMMYFUNCTION("""COMPUTED_VALUE"""),"5th Enumerator organization")</f>
        <v>0</v>
      </c>
      <c r="H708">
        <f>IFERROR(__xludf.DUMMYFUNCTION("""COMPUTED_VALUE"""),"select_one organizations")</f>
        <v>0</v>
      </c>
    </row>
    <row r="709" spans="1:8">
      <c r="A709">
        <f>IFERROR(__xludf.DUMMYFUNCTION("""COMPUTED_VALUE"""),"5th Enumerator phone number")</f>
        <v>0</v>
      </c>
      <c r="B709">
        <f>IFERROR(2h</f>
        <v>0</v>
      </c>
      <c r="D709">
        <f>IFERROR(__xludf.DUMMYFUNCTION("""COMPUTED_VALUE"""),"5th Enumerator phone number")</f>
        <v>0</v>
      </c>
      <c r="H709">
        <f>IFERROR(__xludf.DUMMYFUNCTION("""COMPUTED_VALUE"""),"text")</f>
        <v>0</v>
      </c>
    </row>
    <row r="710" spans="1:8">
      <c r="A710">
        <f>IFERROR(__xludf.DUMMYFUNCTION("""COMPUTED_VALUE"""),"Are there more persons?")</f>
        <v>0</v>
      </c>
      <c r="B710">
        <f>IFERROR(7F</f>
        <v>0</v>
      </c>
      <c r="D710">
        <f>IFERROR(__xludf.DUMMYFUNCTION("""COMPUTED_VALUE"""),"Are there more persons?")</f>
        <v>0</v>
      </c>
      <c r="H710">
        <f>IFERROR(__xludf.DUMMYFUNCTION("""COMPUTED_VALUE"""),"select_one yes_no")</f>
        <v>0</v>
      </c>
    </row>
    <row r="711" spans="1:8">
      <c r="A711">
        <f>IFERROR(__xludf.DUMMYFUNCTION("""COMPUTED_VALUE"""),"How many other persons")</f>
        <v>0</v>
      </c>
      <c r="B711">
        <f>IFERROR(5f</f>
        <v>0</v>
      </c>
      <c r="D711">
        <f>IFERROR(__xludf.DUMMYFUNCTION("""COMPUTED_VALUE"""),"How many other persons")</f>
        <v>0</v>
      </c>
      <c r="H711">
        <f>IFERROR(__xludf.DUMMYFUNCTION("""COMPUTED_VALUE"""),"integer")</f>
        <v>0</v>
      </c>
    </row>
    <row r="712" spans="1:8">
      <c r="A712">
        <f>IFERROR(__xludf.DUMMYFUNCTION("""COMPUTED_VALUE"""),"")</f>
        <v>0</v>
      </c>
      <c r="B712">
        <f>IFERROR00V</f>
        <v>0</v>
      </c>
      <c r="D712">
        <f>IFERROR(__xludf.DUMMYFUNCTION("""COMPUTED_VALUE"""),"")</f>
        <v>0</v>
      </c>
      <c r="H712">
        <f>IFERROR(__xludf.DUMMYFUNCTION("""COMPUTED_VALUE"""),"end_group")</f>
        <v>0</v>
      </c>
    </row>
    <row r="713" spans="1:8">
      <c r="A713">
        <f>IFERROR(__xludf.DUMMYFUNCTION("""COMPUTED_VALUE"""),"")</f>
        <v>0</v>
      </c>
      <c r="B713">
        <f>IFERROR00f</f>
        <v>0</v>
      </c>
      <c r="D713">
        <f>IFERROR(__xludf.DUMMYFUNCTION("""COMPUTED_VALUE"""),"")</f>
        <v>0</v>
      </c>
      <c r="H713">
        <f>IFERROR(__xludf.DUMMYFUNCTION("""COMPUTED_VALUE"""),"")</f>
        <v>0</v>
      </c>
    </row>
    <row r="714" spans="1:8">
      <c r="A714">
        <f>IFERROR(__xludf.DUMMYFUNCTION("""COMPUTED_VALUE"""),"")</f>
        <v>0</v>
      </c>
      <c r="B714">
        <f>IFERROR03l</f>
        <v>0</v>
      </c>
      <c r="D714">
        <f>IFERROR(__xludf.DUMMYFUNCTION("""COMPUTED_VALUE"""),"")</f>
        <v>0</v>
      </c>
      <c r="H714">
        <f>IFERROR(__xludf.DUMMYFUNCTION("""COMPUTED_VALUE"""),"")</f>
        <v>0</v>
      </c>
    </row>
    <row r="715" spans="1:8">
      <c r="A715">
        <f>IFERROR(__xludf.DUMMYFUNCTION("""COMPUTED_VALUE"""),"")</f>
        <v>0</v>
      </c>
      <c r="B715">
        <f>IFERROR09H</f>
        <v>0</v>
      </c>
      <c r="D715">
        <f>IFERROR(__xludf.DUMMYFUNCTION("""COMPUTED_VALUE"""),"")</f>
        <v>0</v>
      </c>
      <c r="H715">
        <f>IFERROR(__xludf.DUMMYFUNCTION("""COMPUTED_VALUE"""),"")</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03"/>
  <sheetViews>
    <sheetView workbookViewId="0"/>
  </sheetViews>
  <sheetFormatPr defaultRowHeight="15"/>
  <sheetData>
    <row r="1" spans="1:6">
      <c r="A1" s="1" t="s">
        <v>21</v>
      </c>
      <c r="B1" s="1" t="s">
        <v>22</v>
      </c>
      <c r="C1" s="1" t="s">
        <v>23</v>
      </c>
      <c r="D1" s="1" t="s">
        <v>24</v>
      </c>
      <c r="E1" s="1" t="s">
        <v>25</v>
      </c>
      <c r="F1" s="1" t="s">
        <v>26</v>
      </c>
    </row>
    <row r="2" spans="1:6">
      <c r="A2">
        <f>IFERROR(__xludf.DUMMYFUNCTION("""COMPUTED_VALUE"""),"yes_no")</f>
        <v>0</v>
      </c>
      <c r="B2">
        <f>IFERROR(00</f>
        <v>0</v>
      </c>
      <c r="C2">
        <f>IFERROR(__xludf.DUMMYFUNCTION("""COMPUTED_VALUE"""),"yes_no")</f>
        <v>0</v>
      </c>
      <c r="D2">
        <f>IFERROR(__xludf.DUMMYFUNCTION("""COMPUTED_VALUE"""),"Yes")</f>
        <v>0</v>
      </c>
      <c r="E2">
        <f>IFERROR(3i</f>
        <v>0</v>
      </c>
      <c r="F2">
        <f>IFERROR(__xludf.DUMMYFUNCTION("""COMPUTED_VALUE"""),"yes")</f>
        <v>0</v>
      </c>
    </row>
    <row r="3" spans="1:6">
      <c r="A3">
        <f>IFERROR(__xludf.DUMMYFUNCTION("""COMPUTED_VALUE"""),"yes_no")</f>
        <v>0</v>
      </c>
      <c r="B3">
        <f>IFERROR(00</f>
        <v>0</v>
      </c>
      <c r="C3">
        <f>IFERROR(__xludf.DUMMYFUNCTION("""COMPUTED_VALUE"""),"yes_no")</f>
        <v>0</v>
      </c>
      <c r="D3">
        <f>IFERROR(__xludf.DUMMYFUNCTION("""COMPUTED_VALUE"""),"No")</f>
        <v>0</v>
      </c>
      <c r="E3">
        <f>IFERROR02Q</f>
        <v>0</v>
      </c>
      <c r="F3">
        <f>IFERROR(__xludf.DUMMYFUNCTION("""COMPUTED_VALUE"""),"no")</f>
        <v>0</v>
      </c>
    </row>
    <row r="4" spans="1:6">
      <c r="A4">
        <f>IFERROR(__xludf.DUMMYFUNCTION("""COMPUTED_VALUE"""),"yes0_no0")</f>
        <v>0</v>
      </c>
      <c r="B4">
        <f>IFERROR(00</f>
        <v>0</v>
      </c>
      <c r="C4">
        <f>IFERROR(__xludf.DUMMYFUNCTION("""COMPUTED_VALUE"""),"yes0_no0")</f>
        <v>0</v>
      </c>
      <c r="D4">
        <f>IFERROR(__xludf.DUMMYFUNCTION("""COMPUTED_VALUE"""),"Yes")</f>
        <v>0</v>
      </c>
      <c r="E4">
        <f>IFERROR(4a</f>
        <v>0</v>
      </c>
      <c r="F4">
        <f>IFERROR(__xludf.DUMMYFUNCTION("""COMPUTED_VALUE"""),"yes")</f>
        <v>0</v>
      </c>
    </row>
    <row r="5" spans="1:6">
      <c r="A5">
        <f>IFERROR(__xludf.DUMMYFUNCTION("""COMPUTED_VALUE"""),"yes0_no0")</f>
        <v>0</v>
      </c>
      <c r="B5">
        <f>IFERROR(00</f>
        <v>0</v>
      </c>
      <c r="C5">
        <f>IFERROR(__xludf.DUMMYFUNCTION("""COMPUTED_VALUE"""),"yes0_no0")</f>
        <v>0</v>
      </c>
      <c r="D5">
        <f>IFERROR(__xludf.DUMMYFUNCTION("""COMPUTED_VALUE"""),"No")</f>
        <v>0</v>
      </c>
      <c r="E5">
        <f>IFERROR00e</f>
        <v>0</v>
      </c>
      <c r="F5">
        <f>IFERROR(__xludf.DUMMYFUNCTION("""COMPUTED_VALUE"""),"no")</f>
        <v>0</v>
      </c>
    </row>
    <row r="6" spans="1:6">
      <c r="A6">
        <f>IFERROR(__xludf.DUMMYFUNCTION("""COMPUTED_VALUE"""),"yes1_no0")</f>
        <v>0</v>
      </c>
      <c r="B6">
        <f>IFERROR(00</f>
        <v>0</v>
      </c>
      <c r="C6">
        <f>IFERROR(__xludf.DUMMYFUNCTION("""COMPUTED_VALUE"""),"yes1_no0")</f>
        <v>0</v>
      </c>
      <c r="D6">
        <f>IFERROR(__xludf.DUMMYFUNCTION("""COMPUTED_VALUE"""),"Yes")</f>
        <v>0</v>
      </c>
      <c r="E6">
        <f>IFERROR(5J</f>
        <v>0</v>
      </c>
      <c r="F6">
        <f>IFERROR(__xludf.DUMMYFUNCTION("""COMPUTED_VALUE"""),"1")</f>
        <v>0</v>
      </c>
    </row>
    <row r="7" spans="1:6">
      <c r="A7">
        <f>IFERROR(__xludf.DUMMYFUNCTION("""COMPUTED_VALUE"""),"yes1_no0")</f>
        <v>0</v>
      </c>
      <c r="B7">
        <f>IFERROR(00</f>
        <v>0</v>
      </c>
      <c r="C7">
        <f>IFERROR(__xludf.DUMMYFUNCTION("""COMPUTED_VALUE"""),"yes1_no0")</f>
        <v>0</v>
      </c>
      <c r="D7">
        <f>IFERROR(__xludf.DUMMYFUNCTION("""COMPUTED_VALUE"""),"No")</f>
        <v>0</v>
      </c>
      <c r="E7">
        <f>IFERROR(6q</f>
        <v>0</v>
      </c>
      <c r="F7">
        <f>IFERROR(__xludf.DUMMYFUNCTION("""COMPUTED_VALUE"""),"0")</f>
        <v>0</v>
      </c>
    </row>
    <row r="8" spans="1:6">
      <c r="A8">
        <f>IFERROR(__xludf.DUMMYFUNCTION("""COMPUTED_VALUE"""),"yes0p5_no0")</f>
        <v>0</v>
      </c>
      <c r="B8">
        <f>IFERROR(00</f>
        <v>0</v>
      </c>
      <c r="C8">
        <f>IFERROR(__xludf.DUMMYFUNCTION("""COMPUTED_VALUE"""),"yes0p5_no0")</f>
        <v>0</v>
      </c>
      <c r="D8">
        <f>IFERROR(__xludf.DUMMYFUNCTION("""COMPUTED_VALUE"""),"Yes")</f>
        <v>0</v>
      </c>
      <c r="E8">
        <f>IFERROR(8x</f>
        <v>0</v>
      </c>
      <c r="F8">
        <f>IFERROR(__xludf.DUMMYFUNCTION("""COMPUTED_VALUE"""),"0.5")</f>
        <v>0</v>
      </c>
    </row>
    <row r="9" spans="1:6">
      <c r="A9">
        <f>IFERROR(__xludf.DUMMYFUNCTION("""COMPUTED_VALUE"""),"yes0p5_no0")</f>
        <v>0</v>
      </c>
      <c r="B9">
        <f>IFERROR(00</f>
        <v>0</v>
      </c>
      <c r="C9">
        <f>IFERROR(__xludf.DUMMYFUNCTION("""COMPUTED_VALUE"""),"yes0p5_no0")</f>
        <v>0</v>
      </c>
      <c r="D9">
        <f>IFERROR(__xludf.DUMMYFUNCTION("""COMPUTED_VALUE"""),"No")</f>
        <v>0</v>
      </c>
      <c r="E9">
        <f>IFERROR(7h</f>
        <v>0</v>
      </c>
      <c r="F9">
        <f>IFERROR(__xludf.DUMMYFUNCTION("""COMPUTED_VALUE"""),"0")</f>
        <v>0</v>
      </c>
    </row>
    <row r="10" spans="1:6">
      <c r="A10">
        <f>IFERROR(__xludf.DUMMYFUNCTION("""COMPUTED_VALUE"""),"yes2_no0")</f>
        <v>0</v>
      </c>
      <c r="B10">
        <f>IFERROR(00</f>
        <v>0</v>
      </c>
      <c r="C10">
        <f>IFERROR(__xludf.DUMMYFUNCTION("""COMPUTED_VALUE"""),"yes2_no0")</f>
        <v>0</v>
      </c>
      <c r="D10">
        <f>IFERROR(__xludf.DUMMYFUNCTION("""COMPUTED_VALUE"""),"Yes")</f>
        <v>0</v>
      </c>
      <c r="E10">
        <f>IFERROR(1g</f>
        <v>0</v>
      </c>
      <c r="F10">
        <f>IFERROR(__xludf.DUMMYFUNCTION("""COMPUTED_VALUE"""),"2")</f>
        <v>0</v>
      </c>
    </row>
    <row r="11" spans="1:6">
      <c r="A11">
        <f>IFERROR(__xludf.DUMMYFUNCTION("""COMPUTED_VALUE"""),"yes2_no0")</f>
        <v>0</v>
      </c>
      <c r="B11">
        <f>IFERROR(00</f>
        <v>0</v>
      </c>
      <c r="C11">
        <f>IFERROR(__xludf.DUMMYFUNCTION("""COMPUTED_VALUE"""),"yes2_no0")</f>
        <v>0</v>
      </c>
      <c r="D11">
        <f>IFERROR(__xludf.DUMMYFUNCTION("""COMPUTED_VALUE"""),"No")</f>
        <v>0</v>
      </c>
      <c r="E11">
        <f>IFERROR(1U</f>
        <v>0</v>
      </c>
      <c r="F11">
        <f>IFERROR(__xludf.DUMMYFUNCTION("""COMPUTED_VALUE"""),"0")</f>
        <v>0</v>
      </c>
    </row>
    <row r="12" spans="1:6">
      <c r="A12">
        <f>IFERROR(__xludf.DUMMYFUNCTION("""COMPUTED_VALUE"""),"yes2p5_no0")</f>
        <v>0</v>
      </c>
      <c r="B12">
        <f>IFERROR(00</f>
        <v>0</v>
      </c>
      <c r="C12">
        <f>IFERROR(__xludf.DUMMYFUNCTION("""COMPUTED_VALUE"""),"yes2p5_no0")</f>
        <v>0</v>
      </c>
      <c r="D12">
        <f>IFERROR(__xludf.DUMMYFUNCTION("""COMPUTED_VALUE"""),"Yes")</f>
        <v>0</v>
      </c>
      <c r="E12">
        <f>IFERROR(4Q</f>
        <v>0</v>
      </c>
      <c r="F12">
        <f>IFERROR(__xludf.DUMMYFUNCTION("""COMPUTED_VALUE"""),"2.5")</f>
        <v>0</v>
      </c>
    </row>
    <row r="13" spans="1:6">
      <c r="A13">
        <f>IFERROR(__xludf.DUMMYFUNCTION("""COMPUTED_VALUE"""),"yes2p5_no0")</f>
        <v>0</v>
      </c>
      <c r="B13">
        <f>IFERROR(00</f>
        <v>0</v>
      </c>
      <c r="C13">
        <f>IFERROR(__xludf.DUMMYFUNCTION("""COMPUTED_VALUE"""),"yes2p5_no0")</f>
        <v>0</v>
      </c>
      <c r="D13">
        <f>IFERROR(__xludf.DUMMYFUNCTION("""COMPUTED_VALUE"""),"No")</f>
        <v>0</v>
      </c>
      <c r="E13">
        <f>IFERROR(1U</f>
        <v>0</v>
      </c>
      <c r="F13">
        <f>IFERROR(__xludf.DUMMYFUNCTION("""COMPUTED_VALUE"""),"0")</f>
        <v>0</v>
      </c>
    </row>
    <row r="14" spans="1:6">
      <c r="A14">
        <f>IFERROR(__xludf.DUMMYFUNCTION("""COMPUTED_VALUE"""),"yes6_no0")</f>
        <v>0</v>
      </c>
      <c r="B14">
        <f>IFERROR(00</f>
        <v>0</v>
      </c>
      <c r="C14">
        <f>IFERROR(__xludf.DUMMYFUNCTION("""COMPUTED_VALUE"""),"yes6_no0")</f>
        <v>0</v>
      </c>
      <c r="D14">
        <f>IFERROR(__xludf.DUMMYFUNCTION("""COMPUTED_VALUE"""),"Yes")</f>
        <v>0</v>
      </c>
      <c r="E14">
        <f>IFERROR(1E</f>
        <v>0</v>
      </c>
      <c r="F14">
        <f>IFERROR(__xludf.DUMMYFUNCTION("""COMPUTED_VALUE"""),"6")</f>
        <v>0</v>
      </c>
    </row>
    <row r="15" spans="1:6">
      <c r="A15">
        <f>IFERROR(__xludf.DUMMYFUNCTION("""COMPUTED_VALUE"""),"yes6_no0")</f>
        <v>0</v>
      </c>
      <c r="B15">
        <f>IFERROR(00</f>
        <v>0</v>
      </c>
      <c r="C15">
        <f>IFERROR(__xludf.DUMMYFUNCTION("""COMPUTED_VALUE"""),"yes6_no0")</f>
        <v>0</v>
      </c>
      <c r="D15">
        <f>IFERROR(__xludf.DUMMYFUNCTION("""COMPUTED_VALUE"""),"No")</f>
        <v>0</v>
      </c>
      <c r="E15">
        <f>IFERROR(9L</f>
        <v>0</v>
      </c>
      <c r="F15">
        <f>IFERROR(__xludf.DUMMYFUNCTION("""COMPUTED_VALUE"""),"0")</f>
        <v>0</v>
      </c>
    </row>
    <row r="16" spans="1:6">
      <c r="A16">
        <f>IFERROR(__xludf.DUMMYFUNCTION("""COMPUTED_VALUE"""),"yes8_no0")</f>
        <v>0</v>
      </c>
      <c r="B16">
        <f>IFERROR(00</f>
        <v>0</v>
      </c>
      <c r="C16">
        <f>IFERROR(__xludf.DUMMYFUNCTION("""COMPUTED_VALUE"""),"yes8_no0")</f>
        <v>0</v>
      </c>
      <c r="D16">
        <f>IFERROR(__xludf.DUMMYFUNCTION("""COMPUTED_VALUE"""),"Yes")</f>
        <v>0</v>
      </c>
      <c r="E16">
        <f>IFERROR(2F</f>
        <v>0</v>
      </c>
      <c r="F16">
        <f>IFERROR(__xludf.DUMMYFUNCTION("""COMPUTED_VALUE"""),"8")</f>
        <v>0</v>
      </c>
    </row>
    <row r="17" spans="1:6">
      <c r="A17">
        <f>IFERROR(__xludf.DUMMYFUNCTION("""COMPUTED_VALUE"""),"yes8_no0")</f>
        <v>0</v>
      </c>
      <c r="B17">
        <f>IFERROR(00</f>
        <v>0</v>
      </c>
      <c r="C17">
        <f>IFERROR(__xludf.DUMMYFUNCTION("""COMPUTED_VALUE"""),"yes8_no0")</f>
        <v>0</v>
      </c>
      <c r="D17">
        <f>IFERROR(__xludf.DUMMYFUNCTION("""COMPUTED_VALUE"""),"No")</f>
        <v>0</v>
      </c>
      <c r="E17">
        <f>IFERROR(4y</f>
        <v>0</v>
      </c>
      <c r="F17">
        <f>IFERROR(__xludf.DUMMYFUNCTION("""COMPUTED_VALUE"""),"0")</f>
        <v>0</v>
      </c>
    </row>
    <row r="18" spans="1:6">
      <c r="A18">
        <f>IFERROR(__xludf.DUMMYFUNCTION("""COMPUTED_VALUE"""),"yes10_no0")</f>
        <v>0</v>
      </c>
      <c r="B18">
        <f>IFERROR000</f>
        <v>0</v>
      </c>
      <c r="C18">
        <f>IFERROR(__xludf.DUMMYFUNCTION("""COMPUTED_VALUE"""),"yes10_no0")</f>
        <v>0</v>
      </c>
      <c r="D18">
        <f>IFERROR(__xludf.DUMMYFUNCTION("""COMPUTED_VALUE"""),"Yes")</f>
        <v>0</v>
      </c>
      <c r="E18">
        <f>IFERROR03O</f>
        <v>0</v>
      </c>
      <c r="F18">
        <f>IFERROR(__xludf.DUMMYFUNCTION("""COMPUTED_VALUE"""),"10")</f>
        <v>0</v>
      </c>
    </row>
    <row r="19" spans="1:6">
      <c r="A19">
        <f>IFERROR(__xludf.DUMMYFUNCTION("""COMPUTED_VALUE"""),"yes10_no0")</f>
        <v>0</v>
      </c>
      <c r="B19">
        <f>IFERROR000</f>
        <v>0</v>
      </c>
      <c r="C19">
        <f>IFERROR(__xludf.DUMMYFUNCTION("""COMPUTED_VALUE"""),"yes10_no0")</f>
        <v>0</v>
      </c>
      <c r="D19">
        <f>IFERROR(__xludf.DUMMYFUNCTION("""COMPUTED_VALUE"""),"No")</f>
        <v>0</v>
      </c>
      <c r="E19">
        <f>IFERROR(3a</f>
        <v>0</v>
      </c>
      <c r="F19">
        <f>IFERROR(__xludf.DUMMYFUNCTION("""COMPUTED_VALUE"""),"0")</f>
        <v>0</v>
      </c>
    </row>
    <row r="20" spans="1:6">
      <c r="A20">
        <f>IFERROR(__xludf.DUMMYFUNCTION("""COMPUTED_VALUE"""),"yes4_no0")</f>
        <v>0</v>
      </c>
      <c r="B20">
        <f>IFERROR(00</f>
        <v>0</v>
      </c>
      <c r="C20">
        <f>IFERROR(__xludf.DUMMYFUNCTION("""COMPUTED_VALUE"""),"yes4_no0")</f>
        <v>0</v>
      </c>
      <c r="D20">
        <f>IFERROR(__xludf.DUMMYFUNCTION("""COMPUTED_VALUE"""),"Yes")</f>
        <v>0</v>
      </c>
      <c r="E20">
        <f>IFERROR(6B</f>
        <v>0</v>
      </c>
      <c r="F20">
        <f>IFERROR(__xludf.DUMMYFUNCTION("""COMPUTED_VALUE"""),"4")</f>
        <v>0</v>
      </c>
    </row>
    <row r="21" spans="1:6">
      <c r="A21">
        <f>IFERROR(__xludf.DUMMYFUNCTION("""COMPUTED_VALUE"""),"yes4_no0")</f>
        <v>0</v>
      </c>
      <c r="B21">
        <f>IFERROR(00</f>
        <v>0</v>
      </c>
      <c r="C21">
        <f>IFERROR(__xludf.DUMMYFUNCTION("""COMPUTED_VALUE"""),"yes4_no0")</f>
        <v>0</v>
      </c>
      <c r="D21">
        <f>IFERROR(__xludf.DUMMYFUNCTION("""COMPUTED_VALUE"""),"No")</f>
        <v>0</v>
      </c>
      <c r="E21">
        <f>IFERROR(0V</f>
        <v>0</v>
      </c>
      <c r="F21">
        <f>IFERROR(__xludf.DUMMYFUNCTION("""COMPUTED_VALUE"""),"0")</f>
        <v>0</v>
      </c>
    </row>
    <row r="22" spans="1:6">
      <c r="A22">
        <f>IFERROR(__xludf.DUMMYFUNCTION("""COMPUTED_VALUE"""),"yes3_no0")</f>
        <v>0</v>
      </c>
      <c r="B22">
        <f>IFERROR(00</f>
        <v>0</v>
      </c>
      <c r="C22">
        <f>IFERROR(__xludf.DUMMYFUNCTION("""COMPUTED_VALUE"""),"yes3_no0")</f>
        <v>0</v>
      </c>
      <c r="D22">
        <f>IFERROR(__xludf.DUMMYFUNCTION("""COMPUTED_VALUE"""),"Yes")</f>
        <v>0</v>
      </c>
      <c r="E22">
        <f>IFERROR(8B</f>
        <v>0</v>
      </c>
      <c r="F22">
        <f>IFERROR(__xludf.DUMMYFUNCTION("""COMPUTED_VALUE"""),"3")</f>
        <v>0</v>
      </c>
    </row>
    <row r="23" spans="1:6">
      <c r="A23">
        <f>IFERROR(__xludf.DUMMYFUNCTION("""COMPUTED_VALUE"""),"yes3_no0")</f>
        <v>0</v>
      </c>
      <c r="B23">
        <f>IFERROR(00</f>
        <v>0</v>
      </c>
      <c r="C23">
        <f>IFERROR(__xludf.DUMMYFUNCTION("""COMPUTED_VALUE"""),"yes3_no0")</f>
        <v>0</v>
      </c>
      <c r="D23">
        <f>IFERROR(__xludf.DUMMYFUNCTION("""COMPUTED_VALUE"""),"No")</f>
        <v>0</v>
      </c>
      <c r="E23">
        <f>IFERROR(2u</f>
        <v>0</v>
      </c>
      <c r="F23">
        <f>IFERROR(__xludf.DUMMYFUNCTION("""COMPUTED_VALUE"""),"0")</f>
        <v>0</v>
      </c>
    </row>
    <row r="24" spans="1:6">
      <c r="A24">
        <f>IFERROR(__xludf.DUMMYFUNCTION("""COMPUTED_VALUE"""),"yes5_no0")</f>
        <v>0</v>
      </c>
      <c r="B24">
        <f>IFERROR(00</f>
        <v>0</v>
      </c>
      <c r="C24">
        <f>IFERROR(__xludf.DUMMYFUNCTION("""COMPUTED_VALUE"""),"yes5_no0")</f>
        <v>0</v>
      </c>
      <c r="D24">
        <f>IFERROR(__xludf.DUMMYFUNCTION("""COMPUTED_VALUE"""),"Yes")</f>
        <v>0</v>
      </c>
      <c r="E24">
        <f>IFERROR(6z</f>
        <v>0</v>
      </c>
      <c r="F24">
        <f>IFERROR(__xludf.DUMMYFUNCTION("""COMPUTED_VALUE"""),"5")</f>
        <v>0</v>
      </c>
    </row>
    <row r="25" spans="1:6">
      <c r="A25">
        <f>IFERROR(__xludf.DUMMYFUNCTION("""COMPUTED_VALUE"""),"yes5_no0")</f>
        <v>0</v>
      </c>
      <c r="B25">
        <f>IFERROR(00</f>
        <v>0</v>
      </c>
      <c r="C25">
        <f>IFERROR(__xludf.DUMMYFUNCTION("""COMPUTED_VALUE"""),"yes5_no0")</f>
        <v>0</v>
      </c>
      <c r="D25">
        <f>IFERROR(__xludf.DUMMYFUNCTION("""COMPUTED_VALUE"""),"No")</f>
        <v>0</v>
      </c>
      <c r="E25">
        <f>IFERROR(6q</f>
        <v>0</v>
      </c>
      <c r="F25">
        <f>IFERROR(__xludf.DUMMYFUNCTION("""COMPUTED_VALUE"""),"0")</f>
        <v>0</v>
      </c>
    </row>
    <row r="26" spans="1:6">
      <c r="A26">
        <f>IFERROR(__xludf.DUMMYFUNCTION("""COMPUTED_VALUE"""),"yes19_no0")</f>
        <v>0</v>
      </c>
      <c r="B26">
        <f>IFERROR000</f>
        <v>0</v>
      </c>
      <c r="C26">
        <f>IFERROR(__xludf.DUMMYFUNCTION("""COMPUTED_VALUE"""),"yes19_no0")</f>
        <v>0</v>
      </c>
      <c r="D26">
        <f>IFERROR(__xludf.DUMMYFUNCTION("""COMPUTED_VALUE"""),"Yes")</f>
        <v>0</v>
      </c>
      <c r="E26">
        <f>IFERROR01P</f>
        <v>0</v>
      </c>
      <c r="F26">
        <f>IFERROR(__xludf.DUMMYFUNCTION("""COMPUTED_VALUE"""),"19")</f>
        <v>0</v>
      </c>
    </row>
    <row r="27" spans="1:6">
      <c r="A27">
        <f>IFERROR(__xludf.DUMMYFUNCTION("""COMPUTED_VALUE"""),"yes19_no0")</f>
        <v>0</v>
      </c>
      <c r="B27">
        <f>IFERROR000</f>
        <v>0</v>
      </c>
      <c r="C27">
        <f>IFERROR(__xludf.DUMMYFUNCTION("""COMPUTED_VALUE"""),"yes19_no0")</f>
        <v>0</v>
      </c>
      <c r="D27">
        <f>IFERROR(__xludf.DUMMYFUNCTION("""COMPUTED_VALUE"""),"No")</f>
        <v>0</v>
      </c>
      <c r="E27">
        <f>IFERROR02h</f>
        <v>0</v>
      </c>
      <c r="F27">
        <f>IFERROR(__xludf.DUMMYFUNCTION("""COMPUTED_VALUE"""),"19")</f>
        <v>0</v>
      </c>
    </row>
    <row r="28" spans="1:6">
      <c r="A28">
        <f>IFERROR(__xludf.DUMMYFUNCTION("""COMPUTED_VALUE"""),"yes20_no0")</f>
        <v>0</v>
      </c>
      <c r="B28">
        <f>IFERROR000</f>
        <v>0</v>
      </c>
      <c r="C28">
        <f>IFERROR(__xludf.DUMMYFUNCTION("""COMPUTED_VALUE"""),"yes20_no0")</f>
        <v>0</v>
      </c>
      <c r="D28">
        <f>IFERROR(__xludf.DUMMYFUNCTION("""COMPUTED_VALUE"""),"Yes")</f>
        <v>0</v>
      </c>
      <c r="E28">
        <f>IFERROR06Z</f>
        <v>0</v>
      </c>
      <c r="F28">
        <f>IFERROR(__xludf.DUMMYFUNCTION("""COMPUTED_VALUE"""),"20")</f>
        <v>0</v>
      </c>
    </row>
    <row r="29" spans="1:6">
      <c r="A29">
        <f>IFERROR(__xludf.DUMMYFUNCTION("""COMPUTED_VALUE"""),"yes20_no0")</f>
        <v>0</v>
      </c>
      <c r="B29">
        <f>IFERROR000</f>
        <v>0</v>
      </c>
      <c r="C29">
        <f>IFERROR(__xludf.DUMMYFUNCTION("""COMPUTED_VALUE"""),"yes20_no0")</f>
        <v>0</v>
      </c>
      <c r="D29">
        <f>IFERROR(__xludf.DUMMYFUNCTION("""COMPUTED_VALUE"""),"No")</f>
        <v>0</v>
      </c>
      <c r="E29">
        <f>IFERROR(0M</f>
        <v>0</v>
      </c>
      <c r="F29">
        <f>IFERROR(__xludf.DUMMYFUNCTION("""COMPUTED_VALUE"""),"0")</f>
        <v>0</v>
      </c>
    </row>
    <row r="30" spans="1:6">
      <c r="A30">
        <f>IFERROR(__xludf.DUMMYFUNCTION("""COMPUTED_VALUE"""),"yes28_no0")</f>
        <v>0</v>
      </c>
      <c r="B30">
        <f>IFERROR000</f>
        <v>0</v>
      </c>
      <c r="C30">
        <f>IFERROR(__xludf.DUMMYFUNCTION("""COMPUTED_VALUE"""),"yes28_no0")</f>
        <v>0</v>
      </c>
      <c r="D30">
        <f>IFERROR(__xludf.DUMMYFUNCTION("""COMPUTED_VALUE"""),"Yes")</f>
        <v>0</v>
      </c>
      <c r="E30">
        <f>IFERROR02P</f>
        <v>0</v>
      </c>
      <c r="F30">
        <f>IFERROR(__xludf.DUMMYFUNCTION("""COMPUTED_VALUE"""),"28")</f>
        <v>0</v>
      </c>
    </row>
    <row r="31" spans="1:6">
      <c r="A31">
        <f>IFERROR(__xludf.DUMMYFUNCTION("""COMPUTED_VALUE"""),"yes28_no0")</f>
        <v>0</v>
      </c>
      <c r="B31">
        <f>IFERROR000</f>
        <v>0</v>
      </c>
      <c r="C31">
        <f>IFERROR(__xludf.DUMMYFUNCTION("""COMPUTED_VALUE"""),"yes28_no0")</f>
        <v>0</v>
      </c>
      <c r="D31">
        <f>IFERROR(__xludf.DUMMYFUNCTION("""COMPUTED_VALUE"""),"No")</f>
        <v>0</v>
      </c>
      <c r="E31">
        <f>IFERROR(5X</f>
        <v>0</v>
      </c>
      <c r="F31">
        <f>IFERROR(__xludf.DUMMYFUNCTION("""COMPUTED_VALUE"""),"0")</f>
        <v>0</v>
      </c>
    </row>
    <row r="32" spans="1:6">
      <c r="A32">
        <f>IFERROR(__xludf.DUMMYFUNCTION("""COMPUTED_VALUE"""),"yes4p5_no0")</f>
        <v>0</v>
      </c>
      <c r="B32">
        <f>IFERROR(00</f>
        <v>0</v>
      </c>
      <c r="C32">
        <f>IFERROR(__xludf.DUMMYFUNCTION("""COMPUTED_VALUE"""),"yes4p5_no0")</f>
        <v>0</v>
      </c>
      <c r="D32">
        <f>IFERROR(__xludf.DUMMYFUNCTION("""COMPUTED_VALUE"""),"Yes")</f>
        <v>0</v>
      </c>
      <c r="E32">
        <f>IFERROR(1G</f>
        <v>0</v>
      </c>
      <c r="F32">
        <f>IFERROR(__xludf.DUMMYFUNCTION("""COMPUTED_VALUE"""),"4.5")</f>
        <v>0</v>
      </c>
    </row>
    <row r="33" spans="1:6">
      <c r="A33">
        <f>IFERROR(__xludf.DUMMYFUNCTION("""COMPUTED_VALUE"""),"yes4p5_no0")</f>
        <v>0</v>
      </c>
      <c r="B33">
        <f>IFERROR(00</f>
        <v>0</v>
      </c>
      <c r="C33">
        <f>IFERROR(__xludf.DUMMYFUNCTION("""COMPUTED_VALUE"""),"yes4p5_no0")</f>
        <v>0</v>
      </c>
      <c r="D33">
        <f>IFERROR(__xludf.DUMMYFUNCTION("""COMPUTED_VALUE"""),"No")</f>
        <v>0</v>
      </c>
      <c r="E33">
        <f>IFERROR(4K</f>
        <v>0</v>
      </c>
      <c r="F33">
        <f>IFERROR(__xludf.DUMMYFUNCTION("""COMPUTED_VALUE"""),"0")</f>
        <v>0</v>
      </c>
    </row>
    <row r="34" spans="1:6">
      <c r="A34">
        <f>IFERROR(__xludf.DUMMYFUNCTION("""COMPUTED_VALUE"""),"indi_comm")</f>
        <v>0</v>
      </c>
      <c r="B34">
        <f>IFERROR000</f>
        <v>0</v>
      </c>
      <c r="C34">
        <f>IFERROR(__xludf.DUMMYFUNCTION("""COMPUTED_VALUE"""),"indi_comm")</f>
        <v>0</v>
      </c>
      <c r="D34">
        <f>IFERROR(__xludf.DUMMYFUNCTION("""COMPUTED_VALUE"""),"No minutes")</f>
        <v>0</v>
      </c>
      <c r="E34">
        <f>IFERROR(8z</f>
        <v>0</v>
      </c>
      <c r="F34">
        <f>IFERROR(__xludf.DUMMYFUNCTION("""COMPUTED_VALUE"""),"0")</f>
        <v>0</v>
      </c>
    </row>
    <row r="35" spans="1:6">
      <c r="A35">
        <f>IFERROR(__xludf.DUMMYFUNCTION("""COMPUTED_VALUE"""),"indi_comm")</f>
        <v>0</v>
      </c>
      <c r="B35">
        <f>IFERROR000</f>
        <v>0</v>
      </c>
      <c r="C35">
        <f>IFERROR(__xludf.DUMMYFUNCTION("""COMPUTED_VALUE"""),"indi_comm")</f>
        <v>0</v>
      </c>
      <c r="D35">
        <f>IFERROR(__xludf.DUMMYFUNCTION("""COMPUTED_VALUE"""),"One month's minutes available")</f>
        <v>0</v>
      </c>
      <c r="E35">
        <f>IFERROR(9z</f>
        <v>0</v>
      </c>
      <c r="F35">
        <f>IFERROR(__xludf.DUMMYFUNCTION("""COMPUTED_VALUE"""),"1")</f>
        <v>0</v>
      </c>
    </row>
    <row r="36" spans="1:6">
      <c r="A36">
        <f>IFERROR(__xludf.DUMMYFUNCTION("""COMPUTED_VALUE"""),"indi_comm")</f>
        <v>0</v>
      </c>
      <c r="B36">
        <f>IFERROR000</f>
        <v>0</v>
      </c>
      <c r="C36">
        <f>IFERROR(__xludf.DUMMYFUNCTION("""COMPUTED_VALUE"""),"indi_comm")</f>
        <v>0</v>
      </c>
      <c r="D36">
        <f>IFERROR(__xludf.DUMMYFUNCTION("""COMPUTED_VALUE"""),"Two months' minutes available")</f>
        <v>0</v>
      </c>
      <c r="E36">
        <f>IFERROR(1f</f>
        <v>0</v>
      </c>
      <c r="F36">
        <f>IFERROR(__xludf.DUMMYFUNCTION("""COMPUTED_VALUE"""),"2")</f>
        <v>0</v>
      </c>
    </row>
    <row r="37" spans="1:6">
      <c r="A37">
        <f>IFERROR(__xludf.DUMMYFUNCTION("""COMPUTED_VALUE"""),"indi_comm")</f>
        <v>0</v>
      </c>
      <c r="B37">
        <f>IFERROR000</f>
        <v>0</v>
      </c>
      <c r="C37">
        <f>IFERROR(__xludf.DUMMYFUNCTION("""COMPUTED_VALUE"""),"indi_comm")</f>
        <v>0</v>
      </c>
      <c r="D37">
        <f>IFERROR(__xludf.DUMMYFUNCTION("""COMPUTED_VALUE"""),"All minutes for quarter available")</f>
        <v>0</v>
      </c>
      <c r="E37">
        <f>IFERROR(2F</f>
        <v>0</v>
      </c>
      <c r="F37">
        <f>IFERROR(__xludf.DUMMYFUNCTION("""COMPUTED_VALUE"""),"3")</f>
        <v>0</v>
      </c>
    </row>
    <row r="38" spans="1:6">
      <c r="A38">
        <f>IFERROR(__xludf.DUMMYFUNCTION("""COMPUTED_VALUE"""),"micro_scopy")</f>
        <v>0</v>
      </c>
      <c r="B38">
        <f>IFERROR000</f>
        <v>0</v>
      </c>
      <c r="C38">
        <f>IFERROR(__xludf.DUMMYFUNCTION("""COMPUTED_VALUE"""),"micro_scopy")</f>
        <v>0</v>
      </c>
      <c r="D38">
        <f>IFERROR(__xludf.DUMMYFUNCTION("""COMPUTED_VALUE"""),"&gt;48 hours for Microscopy")</f>
        <v>0</v>
      </c>
      <c r="E38">
        <f>IFERROR(8R</f>
        <v>0</v>
      </c>
      <c r="F38">
        <f>IFERROR(__xludf.DUMMYFUNCTION("""COMPUTED_VALUE"""),"great_microscopy")</f>
        <v>0</v>
      </c>
    </row>
    <row r="39" spans="1:6">
      <c r="A39">
        <f>IFERROR(__xludf.DUMMYFUNCTION("""COMPUTED_VALUE"""),"micro_scopy")</f>
        <v>0</v>
      </c>
      <c r="B39">
        <f>IFERROR000</f>
        <v>0</v>
      </c>
      <c r="C39">
        <f>IFERROR(__xludf.DUMMYFUNCTION("""COMPUTED_VALUE"""),"micro_scopy")</f>
        <v>0</v>
      </c>
      <c r="D39">
        <f>IFERROR(__xludf.DUMMYFUNCTION("""COMPUTED_VALUE"""),"&lt;48 hours for Microscopy")</f>
        <v>0</v>
      </c>
      <c r="E39">
        <f>IFERROR02A</f>
        <v>0</v>
      </c>
      <c r="F39">
        <f>IFERROR(__xludf.DUMMYFUNCTION("""COMPUTED_VALUE"""),"less_microscopy")</f>
        <v>0</v>
      </c>
    </row>
    <row r="40" spans="1:6">
      <c r="A40">
        <f>IFERROR(__xludf.DUMMYFUNCTION("""COMPUTED_VALUE"""),"micro_scopy")</f>
        <v>0</v>
      </c>
      <c r="B40">
        <f>IFERROR000</f>
        <v>0</v>
      </c>
      <c r="C40">
        <f>IFERROR(__xludf.DUMMYFUNCTION("""COMPUTED_VALUE"""),"micro_scopy")</f>
        <v>0</v>
      </c>
      <c r="D40">
        <f>IFERROR(__xludf.DUMMYFUNCTION("""COMPUTED_VALUE"""),"&gt;24 hours for GeneXpert")</f>
        <v>0</v>
      </c>
      <c r="E40">
        <f>IFERROR01n</f>
        <v>0</v>
      </c>
      <c r="F40">
        <f>IFERROR(__xludf.DUMMYFUNCTION("""COMPUTED_VALUE"""),"great_genexpert")</f>
        <v>0</v>
      </c>
    </row>
    <row r="41" spans="1:6">
      <c r="A41">
        <f>IFERROR(__xludf.DUMMYFUNCTION("""COMPUTED_VALUE"""),"micro_scopy")</f>
        <v>0</v>
      </c>
      <c r="B41">
        <f>IFERROR000</f>
        <v>0</v>
      </c>
      <c r="C41">
        <f>IFERROR(__xludf.DUMMYFUNCTION("""COMPUTED_VALUE"""),"micro_scopy")</f>
        <v>0</v>
      </c>
      <c r="D41">
        <f>IFERROR(__xludf.DUMMYFUNCTION("""COMPUTED_VALUE"""),"&lt;24 hours for GeneXpert")</f>
        <v>0</v>
      </c>
      <c r="E41">
        <f>IFERROR(9W</f>
        <v>0</v>
      </c>
      <c r="F41">
        <f>IFERROR(__xludf.DUMMYFUNCTION("""COMPUTED_VALUE"""),"less_genexpert")</f>
        <v>0</v>
      </c>
    </row>
    <row r="42" spans="1:6">
      <c r="A42">
        <f>IFERROR(__xludf.DUMMYFUNCTION("""COMPUTED_VALUE"""),"diag_nosis")</f>
        <v>0</v>
      </c>
      <c r="B42">
        <f>IFERROR(00</f>
        <v>0</v>
      </c>
      <c r="C42">
        <f>IFERROR(__xludf.DUMMYFUNCTION("""COMPUTED_VALUE"""),"diag_nosis")</f>
        <v>0</v>
      </c>
      <c r="D42">
        <f>IFERROR(__xludf.DUMMYFUNCTION("""COMPUTED_VALUE"""),"Microscopy (Sputum AFB)")</f>
        <v>0</v>
      </c>
      <c r="E42">
        <f>IFERROR09Q</f>
        <v>0</v>
      </c>
      <c r="F42">
        <f>IFERROR(__xludf.DUMMYFUNCTION("""COMPUTED_VALUE"""),"microscopy")</f>
        <v>0</v>
      </c>
    </row>
    <row r="43" spans="1:6">
      <c r="A43">
        <f>IFERROR(__xludf.DUMMYFUNCTION("""COMPUTED_VALUE"""),"diag_nosis")</f>
        <v>0</v>
      </c>
      <c r="B43">
        <f>IFERROR(00</f>
        <v>0</v>
      </c>
      <c r="C43">
        <f>IFERROR(__xludf.DUMMYFUNCTION("""COMPUTED_VALUE"""),"diag_nosis")</f>
        <v>0</v>
      </c>
      <c r="D43">
        <f>IFERROR(__xludf.DUMMYFUNCTION("""COMPUTED_VALUE"""),"GeneXpert")</f>
        <v>0</v>
      </c>
      <c r="E43">
        <f>IFERROR(7G</f>
        <v>0</v>
      </c>
      <c r="F43">
        <f>IFERROR(__xludf.DUMMYFUNCTION("""COMPUTED_VALUE"""),"gene_xpert")</f>
        <v>0</v>
      </c>
    </row>
    <row r="44" spans="1:6">
      <c r="A44">
        <f>IFERROR(__xludf.DUMMYFUNCTION("""COMPUTED_VALUE"""),"tech_meeting")</f>
        <v>0</v>
      </c>
      <c r="B44">
        <f>IFERROR(00</f>
        <v>0</v>
      </c>
      <c r="C44">
        <f>IFERROR(__xludf.DUMMYFUNCTION("""COMPUTED_VALUE"""),"tech_meeting")</f>
        <v>0</v>
      </c>
      <c r="D44">
        <f>IFERROR(__xludf.DUMMYFUNCTION("""COMPUTED_VALUE"""),"Yes")</f>
        <v>0</v>
      </c>
      <c r="E44">
        <f>IFERROR(9F</f>
        <v>0</v>
      </c>
      <c r="F44">
        <f>IFERROR(__xludf.DUMMYFUNCTION("""COMPUTED_VALUE"""),"yes")</f>
        <v>0</v>
      </c>
    </row>
    <row r="45" spans="1:6">
      <c r="A45">
        <f>IFERROR(__xludf.DUMMYFUNCTION("""COMPUTED_VALUE"""),"tech_meeting")</f>
        <v>0</v>
      </c>
      <c r="B45">
        <f>IFERROR(00</f>
        <v>0</v>
      </c>
      <c r="C45">
        <f>IFERROR(__xludf.DUMMYFUNCTION("""COMPUTED_VALUE"""),"tech_meeting")</f>
        <v>0</v>
      </c>
      <c r="D45">
        <f>IFERROR(__xludf.DUMMYFUNCTION("""COMPUTED_VALUE"""),"No")</f>
        <v>0</v>
      </c>
      <c r="E45">
        <f>IFERROR01w</f>
        <v>0</v>
      </c>
      <c r="F45">
        <f>IFERROR(__xludf.DUMMYFUNCTION("""COMPUTED_VALUE"""),"no")</f>
        <v>0</v>
      </c>
    </row>
    <row r="46" spans="1:6">
      <c r="A46">
        <f>IFERROR(__xludf.DUMMYFUNCTION("""COMPUTED_VALUE"""),"tech_meeting")</f>
        <v>0</v>
      </c>
      <c r="B46">
        <f>IFERROR(00</f>
        <v>0</v>
      </c>
      <c r="C46">
        <f>IFERROR(__xludf.DUMMYFUNCTION("""COMPUTED_VALUE"""),"tech_meeting")</f>
        <v>0</v>
      </c>
      <c r="D46">
        <f>IFERROR(__xludf.DUMMYFUNCTION("""COMPUTED_VALUE"""),"Incomplete")</f>
        <v>0</v>
      </c>
      <c r="E46">
        <f>IFERROR01J</f>
        <v>0</v>
      </c>
      <c r="F46">
        <f>IFERROR(__xludf.DUMMYFUNCTION("""COMPUTED_VALUE"""),"incomplete")</f>
        <v>0</v>
      </c>
    </row>
    <row r="47" spans="1:6">
      <c r="A47">
        <f>IFERROR(__xludf.DUMMYFUNCTION("""COMPUTED_VALUE"""),"latrines")</f>
        <v>0</v>
      </c>
      <c r="B47">
        <f>IFERROR000</f>
        <v>0</v>
      </c>
      <c r="C47">
        <f>IFERROR(__xludf.DUMMYFUNCTION("""COMPUTED_VALUE"""),"latrines")</f>
        <v>0</v>
      </c>
      <c r="D47">
        <f>IFERROR(__xludf.DUMMYFUNCTION("""COMPUTED_VALUE"""),"At least four water closet functional latrines/toilets (either the flushable squatting closet or the sitting closet) two for staff: Male and female, two for patients: Male and female")</f>
        <v>0</v>
      </c>
      <c r="E47">
        <f>IFERROR(1z</f>
        <v>0</v>
      </c>
      <c r="F47">
        <f>IFERROR(__xludf.DUMMYFUNCTION("""COMPUTED_VALUE"""),"1")</f>
        <v>0</v>
      </c>
    </row>
    <row r="48" spans="1:6">
      <c r="A48">
        <f>IFERROR(__xludf.DUMMYFUNCTION("""COMPUTED_VALUE"""),"latrines")</f>
        <v>0</v>
      </c>
      <c r="B48">
        <f>IFERROR000</f>
        <v>0</v>
      </c>
      <c r="C48">
        <f>IFERROR(__xludf.DUMMYFUNCTION("""COMPUTED_VALUE"""),"latrines")</f>
        <v>0</v>
      </c>
      <c r="D48">
        <f>IFERROR(__xludf.DUMMYFUNCTION("""COMPUTED_VALUE"""),"Floor without fissures")</f>
        <v>0</v>
      </c>
      <c r="E48">
        <f>IFERROR(8Q</f>
        <v>0</v>
      </c>
      <c r="F48">
        <f>IFERROR(__xludf.DUMMYFUNCTION("""COMPUTED_VALUE"""),"0.5")</f>
        <v>0</v>
      </c>
    </row>
    <row r="49" spans="1:6">
      <c r="A49">
        <f>IFERROR(__xludf.DUMMYFUNCTION("""COMPUTED_VALUE"""),"latrines")</f>
        <v>0</v>
      </c>
      <c r="B49">
        <f>IFERROR000</f>
        <v>0</v>
      </c>
      <c r="C49">
        <f>IFERROR(__xludf.DUMMYFUNCTION("""COMPUTED_VALUE"""),"latrines")</f>
        <v>0</v>
      </c>
      <c r="D49">
        <f>IFERROR(__xludf.DUMMYFUNCTION("""COMPUTED_VALUE"""),"Recently cleaned without visible fecal matter")</f>
        <v>0</v>
      </c>
      <c r="E49">
        <f>IFERROR(4j</f>
        <v>0</v>
      </c>
      <c r="F49">
        <f>IFERROR(__xludf.DUMMYFUNCTION("""COMPUTED_VALUE"""),"0.5")</f>
        <v>0</v>
      </c>
    </row>
    <row r="50" spans="1:6">
      <c r="A50">
        <f>IFERROR(__xludf.DUMMYFUNCTION("""COMPUTED_VALUE"""),"staffs")</f>
        <v>0</v>
      </c>
      <c r="B50">
        <f>IFERROR000</f>
        <v>0</v>
      </c>
      <c r="C50">
        <f>IFERROR(__xludf.DUMMYFUNCTION("""COMPUTED_VALUE"""),"staffs")</f>
        <v>0</v>
      </c>
      <c r="D50">
        <f>IFERROR(__xludf.DUMMYFUNCTION("""COMPUTED_VALUE"""),"Medical Doctor")</f>
        <v>0</v>
      </c>
      <c r="E50">
        <f>IFERROR(2Q</f>
        <v>0</v>
      </c>
      <c r="F50">
        <f>IFERROR(__xludf.DUMMYFUNCTION("""COMPUTED_VALUE"""),"medical_doctor")</f>
        <v>0</v>
      </c>
    </row>
    <row r="51" spans="1:6">
      <c r="A51">
        <f>IFERROR(__xludf.DUMMYFUNCTION("""COMPUTED_VALUE"""),"staffs")</f>
        <v>0</v>
      </c>
      <c r="B51">
        <f>IFERROR000</f>
        <v>0</v>
      </c>
      <c r="C51">
        <f>IFERROR(__xludf.DUMMYFUNCTION("""COMPUTED_VALUE"""),"staffs")</f>
        <v>0</v>
      </c>
      <c r="D51">
        <f>IFERROR(__xludf.DUMMYFUNCTION("""COMPUTED_VALUE"""),"Consultant")</f>
        <v>0</v>
      </c>
      <c r="E51">
        <f>IFERROR02H</f>
        <v>0</v>
      </c>
      <c r="F51">
        <f>IFERROR(__xludf.DUMMYFUNCTION("""COMPUTED_VALUE"""),"consultant")</f>
        <v>0</v>
      </c>
    </row>
    <row r="52" spans="1:6">
      <c r="A52">
        <f>IFERROR(__xludf.DUMMYFUNCTION("""COMPUTED_VALUE"""),"staffs")</f>
        <v>0</v>
      </c>
      <c r="B52">
        <f>IFERROR000</f>
        <v>0</v>
      </c>
      <c r="C52">
        <f>IFERROR(__xludf.DUMMYFUNCTION("""COMPUTED_VALUE"""),"staffs")</f>
        <v>0</v>
      </c>
      <c r="D52">
        <f>IFERROR(__xludf.DUMMYFUNCTION("""COMPUTED_VALUE"""),"Nurse/Midwives (Double qualification)")</f>
        <v>0</v>
      </c>
      <c r="E52">
        <f>IFERROR(4N</f>
        <v>0</v>
      </c>
      <c r="F52">
        <f>IFERROR(__xludf.DUMMYFUNCTION("""COMPUTED_VALUE"""),"nurse_midwive_double_qualification")</f>
        <v>0</v>
      </c>
    </row>
    <row r="53" spans="1:6">
      <c r="A53">
        <f>IFERROR(__xludf.DUMMYFUNCTION("""COMPUTED_VALUE"""),"staffs")</f>
        <v>0</v>
      </c>
      <c r="B53">
        <f>IFERROR000</f>
        <v>0</v>
      </c>
      <c r="C53">
        <f>IFERROR(__xludf.DUMMYFUNCTION("""COMPUTED_VALUE"""),"staffs")</f>
        <v>0</v>
      </c>
      <c r="D53">
        <f>IFERROR(__xludf.DUMMYFUNCTION("""COMPUTED_VALUE"""),"Nurses")</f>
        <v>0</v>
      </c>
      <c r="E53">
        <f>IFERROR08d</f>
        <v>0</v>
      </c>
      <c r="F53">
        <f>IFERROR(__xludf.DUMMYFUNCTION("""COMPUTED_VALUE"""),"nurses")</f>
        <v>0</v>
      </c>
    </row>
    <row r="54" spans="1:6">
      <c r="A54">
        <f>IFERROR(__xludf.DUMMYFUNCTION("""COMPUTED_VALUE"""),"staffs")</f>
        <v>0</v>
      </c>
      <c r="B54">
        <f>IFERROR000</f>
        <v>0</v>
      </c>
      <c r="C54">
        <f>IFERROR(__xludf.DUMMYFUNCTION("""COMPUTED_VALUE"""),"staffs")</f>
        <v>0</v>
      </c>
      <c r="D54">
        <f>IFERROR(__xludf.DUMMYFUNCTION("""COMPUTED_VALUE"""),"Midwives")</f>
        <v>0</v>
      </c>
      <c r="E54">
        <f>IFERROR02z</f>
        <v>0</v>
      </c>
      <c r="F54">
        <f>IFERROR(__xludf.DUMMYFUNCTION("""COMPUTED_VALUE"""),"midwives")</f>
        <v>0</v>
      </c>
    </row>
    <row r="55" spans="1:6">
      <c r="A55">
        <f>IFERROR(__xludf.DUMMYFUNCTION("""COMPUTED_VALUE"""),"staffs")</f>
        <v>0</v>
      </c>
      <c r="B55">
        <f>IFERROR000</f>
        <v>0</v>
      </c>
      <c r="C55">
        <f>IFERROR(__xludf.DUMMYFUNCTION("""COMPUTED_VALUE"""),"staffs")</f>
        <v>0</v>
      </c>
      <c r="D55">
        <f>IFERROR(__xludf.DUMMYFUNCTION("""COMPUTED_VALUE"""),"Dentist")</f>
        <v>0</v>
      </c>
      <c r="E55">
        <f>IFERROR(3k</f>
        <v>0</v>
      </c>
      <c r="F55">
        <f>IFERROR(__xludf.DUMMYFUNCTION("""COMPUTED_VALUE"""),"dentist")</f>
        <v>0</v>
      </c>
    </row>
    <row r="56" spans="1:6">
      <c r="A56">
        <f>IFERROR(__xludf.DUMMYFUNCTION("""COMPUTED_VALUE"""),"staffs")</f>
        <v>0</v>
      </c>
      <c r="B56">
        <f>IFERROR000</f>
        <v>0</v>
      </c>
      <c r="C56">
        <f>IFERROR(__xludf.DUMMYFUNCTION("""COMPUTED_VALUE"""),"staffs")</f>
        <v>0</v>
      </c>
      <c r="D56">
        <f>IFERROR(__xludf.DUMMYFUNCTION("""COMPUTED_VALUE"""),"Dental Technician")</f>
        <v>0</v>
      </c>
      <c r="E56">
        <f>IFERROR08P</f>
        <v>0</v>
      </c>
      <c r="F56">
        <f>IFERROR(__xludf.DUMMYFUNCTION("""COMPUTED_VALUE"""),"dental_technician")</f>
        <v>0</v>
      </c>
    </row>
    <row r="57" spans="1:6">
      <c r="A57">
        <f>IFERROR(__xludf.DUMMYFUNCTION("""COMPUTED_VALUE"""),"staffs")</f>
        <v>0</v>
      </c>
      <c r="B57">
        <f>IFERROR000</f>
        <v>0</v>
      </c>
      <c r="C57">
        <f>IFERROR(__xludf.DUMMYFUNCTION("""COMPUTED_VALUE"""),"staffs")</f>
        <v>0</v>
      </c>
      <c r="D57">
        <f>IFERROR(__xludf.DUMMYFUNCTION("""COMPUTED_VALUE"""),"Dental Assistant")</f>
        <v>0</v>
      </c>
      <c r="E57">
        <f>IFERROR(3x</f>
        <v>0</v>
      </c>
      <c r="F57">
        <f>IFERROR(__xludf.DUMMYFUNCTION("""COMPUTED_VALUE"""),"dental_assistant")</f>
        <v>0</v>
      </c>
    </row>
    <row r="58" spans="1:6">
      <c r="A58">
        <f>IFERROR(__xludf.DUMMYFUNCTION("""COMPUTED_VALUE"""),"staffs")</f>
        <v>0</v>
      </c>
      <c r="B58">
        <f>IFERROR000</f>
        <v>0</v>
      </c>
      <c r="C58">
        <f>IFERROR(__xludf.DUMMYFUNCTION("""COMPUTED_VALUE"""),"staffs")</f>
        <v>0</v>
      </c>
      <c r="D58">
        <f>IFERROR(__xludf.DUMMYFUNCTION("""COMPUTED_VALUE"""),"Anaesthesist")</f>
        <v>0</v>
      </c>
      <c r="E58">
        <f>IFERROR09k</f>
        <v>0</v>
      </c>
      <c r="F58">
        <f>IFERROR(__xludf.DUMMYFUNCTION("""COMPUTED_VALUE"""),"anaesthesist")</f>
        <v>0</v>
      </c>
    </row>
    <row r="59" spans="1:6">
      <c r="A59">
        <f>IFERROR(__xludf.DUMMYFUNCTION("""COMPUTED_VALUE"""),"staffs")</f>
        <v>0</v>
      </c>
      <c r="B59">
        <f>IFERROR000</f>
        <v>0</v>
      </c>
      <c r="C59">
        <f>IFERROR(__xludf.DUMMYFUNCTION("""COMPUTED_VALUE"""),"staffs")</f>
        <v>0</v>
      </c>
      <c r="D59">
        <f>IFERROR(__xludf.DUMMYFUNCTION("""COMPUTED_VALUE"""),"X-RAY Technician")</f>
        <v>0</v>
      </c>
      <c r="E59">
        <f>IFERROR04C</f>
        <v>0</v>
      </c>
      <c r="F59">
        <f>IFERROR(__xludf.DUMMYFUNCTION("""COMPUTED_VALUE"""),"xray_technician")</f>
        <v>0</v>
      </c>
    </row>
    <row r="60" spans="1:6">
      <c r="A60">
        <f>IFERROR(__xludf.DUMMYFUNCTION("""COMPUTED_VALUE"""),"staffs")</f>
        <v>0</v>
      </c>
      <c r="B60">
        <f>IFERROR000</f>
        <v>0</v>
      </c>
      <c r="C60">
        <f>IFERROR(__xludf.DUMMYFUNCTION("""COMPUTED_VALUE"""),"staffs")</f>
        <v>0</v>
      </c>
      <c r="D60">
        <f>IFERROR(__xludf.DUMMYFUNCTION("""COMPUTED_VALUE"""),"CHO")</f>
        <v>0</v>
      </c>
      <c r="E60">
        <f>IFERROR(9v</f>
        <v>0</v>
      </c>
      <c r="F60">
        <f>IFERROR(__xludf.DUMMYFUNCTION("""COMPUTED_VALUE"""),"cho")</f>
        <v>0</v>
      </c>
    </row>
    <row r="61" spans="1:6">
      <c r="A61">
        <f>IFERROR(__xludf.DUMMYFUNCTION("""COMPUTED_VALUE"""),"staffs")</f>
        <v>0</v>
      </c>
      <c r="B61">
        <f>IFERROR000</f>
        <v>0</v>
      </c>
      <c r="C61">
        <f>IFERROR(__xludf.DUMMYFUNCTION("""COMPUTED_VALUE"""),"staffs")</f>
        <v>0</v>
      </c>
      <c r="D61">
        <f>IFERROR(__xludf.DUMMYFUNCTION("""COMPUTED_VALUE"""),"CHEW")</f>
        <v>0</v>
      </c>
      <c r="E61">
        <f>IFERROR07K</f>
        <v>0</v>
      </c>
      <c r="F61">
        <f>IFERROR(__xludf.DUMMYFUNCTION("""COMPUTED_VALUE"""),"chew")</f>
        <v>0</v>
      </c>
    </row>
    <row r="62" spans="1:6">
      <c r="A62">
        <f>IFERROR(__xludf.DUMMYFUNCTION("""COMPUTED_VALUE"""),"staffs")</f>
        <v>0</v>
      </c>
      <c r="B62">
        <f>IFERROR000</f>
        <v>0</v>
      </c>
      <c r="C62">
        <f>IFERROR(__xludf.DUMMYFUNCTION("""COMPUTED_VALUE"""),"staffs")</f>
        <v>0</v>
      </c>
      <c r="D62">
        <f>IFERROR(__xludf.DUMMYFUNCTION("""COMPUTED_VALUE"""),"JCHEW")</f>
        <v>0</v>
      </c>
      <c r="E62">
        <f>IFERROR(1a</f>
        <v>0</v>
      </c>
      <c r="F62">
        <f>IFERROR(__xludf.DUMMYFUNCTION("""COMPUTED_VALUE"""),"jchew")</f>
        <v>0</v>
      </c>
    </row>
    <row r="63" spans="1:6">
      <c r="A63">
        <f>IFERROR(__xludf.DUMMYFUNCTION("""COMPUTED_VALUE"""),"staffs")</f>
        <v>0</v>
      </c>
      <c r="B63">
        <f>IFERROR000</f>
        <v>0</v>
      </c>
      <c r="C63">
        <f>IFERROR(__xludf.DUMMYFUNCTION("""COMPUTED_VALUE"""),"staffs")</f>
        <v>0</v>
      </c>
      <c r="D63">
        <f>IFERROR(__xludf.DUMMYFUNCTION("""COMPUTED_VALUE"""),"Nutrition Officer")</f>
        <v>0</v>
      </c>
      <c r="E63">
        <f>IFERROR05D</f>
        <v>0</v>
      </c>
      <c r="F63">
        <f>IFERROR(__xludf.DUMMYFUNCTION("""COMPUTED_VALUE"""),"nutrition_officer")</f>
        <v>0</v>
      </c>
    </row>
    <row r="64" spans="1:6">
      <c r="A64">
        <f>IFERROR(__xludf.DUMMYFUNCTION("""COMPUTED_VALUE"""),"staffs")</f>
        <v>0</v>
      </c>
      <c r="B64">
        <f>IFERROR000</f>
        <v>0</v>
      </c>
      <c r="C64">
        <f>IFERROR(__xludf.DUMMYFUNCTION("""COMPUTED_VALUE"""),"staffs")</f>
        <v>0</v>
      </c>
      <c r="D64">
        <f>IFERROR(__xludf.DUMMYFUNCTION("""COMPUTED_VALUE"""),"Nutrition Assistant")</f>
        <v>0</v>
      </c>
      <c r="E64">
        <f>IFERROR07d</f>
        <v>0</v>
      </c>
      <c r="F64">
        <f>IFERROR(__xludf.DUMMYFUNCTION("""COMPUTED_VALUE"""),"nutrition_assistant")</f>
        <v>0</v>
      </c>
    </row>
    <row r="65" spans="1:6">
      <c r="A65">
        <f>IFERROR(__xludf.DUMMYFUNCTION("""COMPUTED_VALUE"""),"staffs")</f>
        <v>0</v>
      </c>
      <c r="B65">
        <f>IFERROR000</f>
        <v>0</v>
      </c>
      <c r="C65">
        <f>IFERROR(__xludf.DUMMYFUNCTION("""COMPUTED_VALUE"""),"staffs")</f>
        <v>0</v>
      </c>
      <c r="D65">
        <f>IFERROR(__xludf.DUMMYFUNCTION("""COMPUTED_VALUE"""),"Environmental Health Officer")</f>
        <v>0</v>
      </c>
      <c r="E65">
        <f>IFERROR02t</f>
        <v>0</v>
      </c>
      <c r="F65">
        <f>IFERROR(__xludf.DUMMYFUNCTION("""COMPUTED_VALUE"""),"environmental_health_officer")</f>
        <v>0</v>
      </c>
    </row>
    <row r="66" spans="1:6">
      <c r="A66">
        <f>IFERROR(__xludf.DUMMYFUNCTION("""COMPUTED_VALUE"""),"staffs")</f>
        <v>0</v>
      </c>
      <c r="B66">
        <f>IFERROR000</f>
        <v>0</v>
      </c>
      <c r="C66">
        <f>IFERROR(__xludf.DUMMYFUNCTION("""COMPUTED_VALUE"""),"staffs")</f>
        <v>0</v>
      </c>
      <c r="D66">
        <f>IFERROR(__xludf.DUMMYFUNCTION("""COMPUTED_VALUE"""),"Environmental Health Technician")</f>
        <v>0</v>
      </c>
      <c r="E66">
        <f>IFERROR(4X</f>
        <v>0</v>
      </c>
      <c r="F66">
        <f>IFERROR(__xludf.DUMMYFUNCTION("""COMPUTED_VALUE"""),"environmental_health_technician")</f>
        <v>0</v>
      </c>
    </row>
    <row r="67" spans="1:6">
      <c r="A67">
        <f>IFERROR(__xludf.DUMMYFUNCTION("""COMPUTED_VALUE"""),"staffs")</f>
        <v>0</v>
      </c>
      <c r="B67">
        <f>IFERROR000</f>
        <v>0</v>
      </c>
      <c r="C67">
        <f>IFERROR(__xludf.DUMMYFUNCTION("""COMPUTED_VALUE"""),"staffs")</f>
        <v>0</v>
      </c>
      <c r="D67">
        <f>IFERROR(__xludf.DUMMYFUNCTION("""COMPUTED_VALUE"""),"Environmental Health Assistant")</f>
        <v>0</v>
      </c>
      <c r="E67">
        <f>IFERROR07D</f>
        <v>0</v>
      </c>
      <c r="F67">
        <f>IFERROR(__xludf.DUMMYFUNCTION("""COMPUTED_VALUE"""),"environmental_health_assistant")</f>
        <v>0</v>
      </c>
    </row>
    <row r="68" spans="1:6">
      <c r="A68">
        <f>IFERROR(__xludf.DUMMYFUNCTION("""COMPUTED_VALUE"""),"staffs")</f>
        <v>0</v>
      </c>
      <c r="B68">
        <f>IFERROR000</f>
        <v>0</v>
      </c>
      <c r="C68">
        <f>IFERROR(__xludf.DUMMYFUNCTION("""COMPUTED_VALUE"""),"staffs")</f>
        <v>0</v>
      </c>
      <c r="D68">
        <f>IFERROR(__xludf.DUMMYFUNCTION("""COMPUTED_VALUE"""),"Pharmacist")</f>
        <v>0</v>
      </c>
      <c r="E68">
        <f>IFERROR07K</f>
        <v>0</v>
      </c>
      <c r="F68">
        <f>IFERROR(__xludf.DUMMYFUNCTION("""COMPUTED_VALUE"""),"pharmacist")</f>
        <v>0</v>
      </c>
    </row>
    <row r="69" spans="1:6">
      <c r="A69">
        <f>IFERROR(__xludf.DUMMYFUNCTION("""COMPUTED_VALUE"""),"staffs")</f>
        <v>0</v>
      </c>
      <c r="B69">
        <f>IFERROR000</f>
        <v>0</v>
      </c>
      <c r="C69">
        <f>IFERROR(__xludf.DUMMYFUNCTION("""COMPUTED_VALUE"""),"staffs")</f>
        <v>0</v>
      </c>
      <c r="D69">
        <f>IFERROR(__xludf.DUMMYFUNCTION("""COMPUTED_VALUE"""),"Medical Lab Scientist")</f>
        <v>0</v>
      </c>
      <c r="E69">
        <f>IFERROR(9s</f>
        <v>0</v>
      </c>
      <c r="F69">
        <f>IFERROR(__xludf.DUMMYFUNCTION("""COMPUTED_VALUE"""),"medical_lab_scientist")</f>
        <v>0</v>
      </c>
    </row>
    <row r="70" spans="1:6">
      <c r="A70">
        <f>IFERROR(__xludf.DUMMYFUNCTION("""COMPUTED_VALUE"""),"staffs")</f>
        <v>0</v>
      </c>
      <c r="B70">
        <f>IFERROR000</f>
        <v>0</v>
      </c>
      <c r="C70">
        <f>IFERROR(__xludf.DUMMYFUNCTION("""COMPUTED_VALUE"""),"staffs")</f>
        <v>0</v>
      </c>
      <c r="D70">
        <f>IFERROR(__xludf.DUMMYFUNCTION("""COMPUTED_VALUE"""),"Lab Technician")</f>
        <v>0</v>
      </c>
      <c r="E70">
        <f>IFERROR(6q</f>
        <v>0</v>
      </c>
      <c r="F70">
        <f>IFERROR(__xludf.DUMMYFUNCTION("""COMPUTED_VALUE"""),"lab_technician")</f>
        <v>0</v>
      </c>
    </row>
    <row r="71" spans="1:6">
      <c r="A71">
        <f>IFERROR(__xludf.DUMMYFUNCTION("""COMPUTED_VALUE"""),"staffs")</f>
        <v>0</v>
      </c>
      <c r="B71">
        <f>IFERROR000</f>
        <v>0</v>
      </c>
      <c r="C71">
        <f>IFERROR(__xludf.DUMMYFUNCTION("""COMPUTED_VALUE"""),"staffs")</f>
        <v>0</v>
      </c>
      <c r="D71">
        <f>IFERROR(__xludf.DUMMYFUNCTION("""COMPUTED_VALUE"""),"Lab Assistant")</f>
        <v>0</v>
      </c>
      <c r="E71">
        <f>IFERROR02z</f>
        <v>0</v>
      </c>
      <c r="F71">
        <f>IFERROR(__xludf.DUMMYFUNCTION("""COMPUTED_VALUE"""),"lab_assistant")</f>
        <v>0</v>
      </c>
    </row>
    <row r="72" spans="1:6">
      <c r="A72">
        <f>IFERROR(__xludf.DUMMYFUNCTION("""COMPUTED_VALUE"""),"staffs")</f>
        <v>0</v>
      </c>
      <c r="B72">
        <f>IFERROR000</f>
        <v>0</v>
      </c>
      <c r="C72">
        <f>IFERROR(__xludf.DUMMYFUNCTION("""COMPUTED_VALUE"""),"staffs")</f>
        <v>0</v>
      </c>
      <c r="D72">
        <f>IFERROR(__xludf.DUMMYFUNCTION("""COMPUTED_VALUE"""),"Medical Record Technician")</f>
        <v>0</v>
      </c>
      <c r="E72">
        <f>IFERROR(5X</f>
        <v>0</v>
      </c>
      <c r="F72">
        <f>IFERROR(__xludf.DUMMYFUNCTION("""COMPUTED_VALUE"""),"medical_record_technician")</f>
        <v>0</v>
      </c>
    </row>
    <row r="73" spans="1:6">
      <c r="A73">
        <f>IFERROR(__xludf.DUMMYFUNCTION("""COMPUTED_VALUE"""),"staffs")</f>
        <v>0</v>
      </c>
      <c r="B73">
        <f>IFERROR000</f>
        <v>0</v>
      </c>
      <c r="C73">
        <f>IFERROR(__xludf.DUMMYFUNCTION("""COMPUTED_VALUE"""),"staffs")</f>
        <v>0</v>
      </c>
      <c r="D73">
        <f>IFERROR(__xludf.DUMMYFUNCTION("""COMPUTED_VALUE"""),"Medical Record Officer")</f>
        <v>0</v>
      </c>
      <c r="E73">
        <f>IFERROR06b</f>
        <v>0</v>
      </c>
      <c r="F73">
        <f>IFERROR(__xludf.DUMMYFUNCTION("""COMPUTED_VALUE"""),"medical_record_officer")</f>
        <v>0</v>
      </c>
    </row>
    <row r="74" spans="1:6">
      <c r="A74">
        <f>IFERROR(__xludf.DUMMYFUNCTION("""COMPUTED_VALUE"""),"staffs")</f>
        <v>0</v>
      </c>
      <c r="B74">
        <f>IFERROR000</f>
        <v>0</v>
      </c>
      <c r="C74">
        <f>IFERROR(__xludf.DUMMYFUNCTION("""COMPUTED_VALUE"""),"staffs")</f>
        <v>0</v>
      </c>
      <c r="D74">
        <f>IFERROR(__xludf.DUMMYFUNCTION("""COMPUTED_VALUE"""),"Health Education Officer")</f>
        <v>0</v>
      </c>
      <c r="E74">
        <f>IFERROR03Z</f>
        <v>0</v>
      </c>
      <c r="F74">
        <f>IFERROR(__xludf.DUMMYFUNCTION("""COMPUTED_VALUE"""),"health_education_officer")</f>
        <v>0</v>
      </c>
    </row>
    <row r="75" spans="1:6">
      <c r="A75">
        <f>IFERROR(__xludf.DUMMYFUNCTION("""COMPUTED_VALUE"""),"staffs")</f>
        <v>0</v>
      </c>
      <c r="B75">
        <f>IFERROR000</f>
        <v>0</v>
      </c>
      <c r="C75">
        <f>IFERROR(__xludf.DUMMYFUNCTION("""COMPUTED_VALUE"""),"staffs")</f>
        <v>0</v>
      </c>
      <c r="D75">
        <f>IFERROR(__xludf.DUMMYFUNCTION("""COMPUTED_VALUE"""),"Health Education Assistant")</f>
        <v>0</v>
      </c>
      <c r="E75">
        <f>IFERROR05I</f>
        <v>0</v>
      </c>
      <c r="F75">
        <f>IFERROR(__xludf.DUMMYFUNCTION("""COMPUTED_VALUE"""),"health_education_assistant")</f>
        <v>0</v>
      </c>
    </row>
    <row r="76" spans="1:6">
      <c r="A76">
        <f>IFERROR(__xludf.DUMMYFUNCTION("""COMPUTED_VALUE"""),"staffs")</f>
        <v>0</v>
      </c>
      <c r="B76">
        <f>IFERROR000</f>
        <v>0</v>
      </c>
      <c r="C76">
        <f>IFERROR(__xludf.DUMMYFUNCTION("""COMPUTED_VALUE"""),"staffs")</f>
        <v>0</v>
      </c>
      <c r="D76">
        <f>IFERROR(__xludf.DUMMYFUNCTION("""COMPUTED_VALUE"""),"Pharmacy Technician")</f>
        <v>0</v>
      </c>
      <c r="E76">
        <f>IFERROR04c</f>
        <v>0</v>
      </c>
      <c r="F76">
        <f>IFERROR(__xludf.DUMMYFUNCTION("""COMPUTED_VALUE"""),"pharmacy_technician")</f>
        <v>0</v>
      </c>
    </row>
    <row r="77" spans="1:6">
      <c r="A77">
        <f>IFERROR(__xludf.DUMMYFUNCTION("""COMPUTED_VALUE"""),"staffs")</f>
        <v>0</v>
      </c>
      <c r="B77">
        <f>IFERROR000</f>
        <v>0</v>
      </c>
      <c r="C77">
        <f>IFERROR(__xludf.DUMMYFUNCTION("""COMPUTED_VALUE"""),"staffs")</f>
        <v>0</v>
      </c>
      <c r="D77">
        <f>IFERROR(__xludf.DUMMYFUNCTION("""COMPUTED_VALUE"""),"Pharmacy Assistant")</f>
        <v>0</v>
      </c>
      <c r="E77">
        <f>IFERROR(3S</f>
        <v>0</v>
      </c>
      <c r="F77">
        <f>IFERROR(__xludf.DUMMYFUNCTION("""COMPUTED_VALUE"""),"pharmacy_assistant")</f>
        <v>0</v>
      </c>
    </row>
    <row r="78" spans="1:6">
      <c r="A78">
        <f>IFERROR(__xludf.DUMMYFUNCTION("""COMPUTED_VALUE"""),"contract")</f>
        <v>0</v>
      </c>
      <c r="B78">
        <f>IFERROR000</f>
        <v>0</v>
      </c>
      <c r="C78">
        <f>IFERROR(__xludf.DUMMYFUNCTION("""COMPUTED_VALUE"""),"contract")</f>
        <v>0</v>
      </c>
      <c r="D78">
        <f>IFERROR(__xludf.DUMMYFUNCTION("""COMPUTED_VALUE"""),"Main")</f>
        <v>0</v>
      </c>
      <c r="E78">
        <f>IFERROR06H</f>
        <v>0</v>
      </c>
      <c r="F78">
        <f>IFERROR(__xludf.DUMMYFUNCTION("""COMPUTED_VALUE"""),"main")</f>
        <v>0</v>
      </c>
    </row>
    <row r="79" spans="1:6">
      <c r="A79">
        <f>IFERROR(__xludf.DUMMYFUNCTION("""COMPUTED_VALUE"""),"contract")</f>
        <v>0</v>
      </c>
      <c r="B79">
        <f>IFERROR000</f>
        <v>0</v>
      </c>
      <c r="C79">
        <f>IFERROR(__xludf.DUMMYFUNCTION("""COMPUTED_VALUE"""),"contract")</f>
        <v>0</v>
      </c>
      <c r="D79">
        <f>IFERROR(__xludf.DUMMYFUNCTION("""COMPUTED_VALUE"""),"Subcontracted")</f>
        <v>0</v>
      </c>
      <c r="E79">
        <f>IFERROR(0P</f>
        <v>0</v>
      </c>
      <c r="F79">
        <f>IFERROR(__xludf.DUMMYFUNCTION("""COMPUTED_VALUE"""),"subcontracted")</f>
        <v>0</v>
      </c>
    </row>
    <row r="80" spans="1:6">
      <c r="A80">
        <f>IFERROR(__xludf.DUMMYFUNCTION("""COMPUTED_VALUE"""),"admin_staff")</f>
        <v>0</v>
      </c>
      <c r="B80">
        <f>IFERROR000</f>
        <v>0</v>
      </c>
      <c r="C80">
        <f>IFERROR(__xludf.DUMMYFUNCTION("""COMPUTED_VALUE"""),"admin_staff")</f>
        <v>0</v>
      </c>
      <c r="D80">
        <f>IFERROR(__xludf.DUMMYFUNCTION("""COMPUTED_VALUE"""),"Secretary")</f>
        <v>0</v>
      </c>
      <c r="E80">
        <f>IFERROR(3N</f>
        <v>0</v>
      </c>
      <c r="F80">
        <f>IFERROR(__xludf.DUMMYFUNCTION("""COMPUTED_VALUE"""),"secretary")</f>
        <v>0</v>
      </c>
    </row>
    <row r="81" spans="1:6">
      <c r="A81">
        <f>IFERROR(__xludf.DUMMYFUNCTION("""COMPUTED_VALUE"""),"admin_staff")</f>
        <v>0</v>
      </c>
      <c r="B81">
        <f>IFERROR000</f>
        <v>0</v>
      </c>
      <c r="C81">
        <f>IFERROR(__xludf.DUMMYFUNCTION("""COMPUTED_VALUE"""),"admin_staff")</f>
        <v>0</v>
      </c>
      <c r="D81">
        <f>IFERROR(__xludf.DUMMYFUNCTION("""COMPUTED_VALUE"""),"Accountant")</f>
        <v>0</v>
      </c>
      <c r="E81">
        <f>IFERROR01e</f>
        <v>0</v>
      </c>
      <c r="F81">
        <f>IFERROR(__xludf.DUMMYFUNCTION("""COMPUTED_VALUE"""),"accountant")</f>
        <v>0</v>
      </c>
    </row>
    <row r="82" spans="1:6">
      <c r="A82">
        <f>IFERROR(__xludf.DUMMYFUNCTION("""COMPUTED_VALUE"""),"admin_staff")</f>
        <v>0</v>
      </c>
      <c r="B82">
        <f>IFERROR000</f>
        <v>0</v>
      </c>
      <c r="C82">
        <f>IFERROR(__xludf.DUMMYFUNCTION("""COMPUTED_VALUE"""),"admin_staff")</f>
        <v>0</v>
      </c>
      <c r="D82">
        <f>IFERROR(__xludf.DUMMYFUNCTION("""COMPUTED_VALUE"""),"Revenue Officer")</f>
        <v>0</v>
      </c>
      <c r="E82">
        <f>IFERROR02J</f>
        <v>0</v>
      </c>
      <c r="F82">
        <f>IFERROR(__xludf.DUMMYFUNCTION("""COMPUTED_VALUE"""),"revenue_officer")</f>
        <v>0</v>
      </c>
    </row>
    <row r="83" spans="1:6">
      <c r="A83">
        <f>IFERROR(__xludf.DUMMYFUNCTION("""COMPUTED_VALUE"""),"admin_staff")</f>
        <v>0</v>
      </c>
      <c r="B83">
        <f>IFERROR000</f>
        <v>0</v>
      </c>
      <c r="C83">
        <f>IFERROR(__xludf.DUMMYFUNCTION("""COMPUTED_VALUE"""),"admin_staff")</f>
        <v>0</v>
      </c>
      <c r="D83">
        <f>IFERROR(__xludf.DUMMYFUNCTION("""COMPUTED_VALUE"""),"Revenue Collectors")</f>
        <v>0</v>
      </c>
      <c r="E83">
        <f>IFERROR(9t</f>
        <v>0</v>
      </c>
      <c r="F83">
        <f>IFERROR(__xludf.DUMMYFUNCTION("""COMPUTED_VALUE"""),"revenue_collectors")</f>
        <v>0</v>
      </c>
    </row>
    <row r="84" spans="1:6">
      <c r="A84">
        <f>IFERROR(__xludf.DUMMYFUNCTION("""COMPUTED_VALUE"""),"admin_staff")</f>
        <v>0</v>
      </c>
      <c r="B84">
        <f>IFERROR000</f>
        <v>0</v>
      </c>
      <c r="C84">
        <f>IFERROR(__xludf.DUMMYFUNCTION("""COMPUTED_VALUE"""),"admin_staff")</f>
        <v>0</v>
      </c>
      <c r="D84">
        <f>IFERROR(__xludf.DUMMYFUNCTION("""COMPUTED_VALUE"""),"Maintenance Officer")</f>
        <v>0</v>
      </c>
      <c r="E84">
        <f>IFERROR07i</f>
        <v>0</v>
      </c>
      <c r="F84">
        <f>IFERROR(__xludf.DUMMYFUNCTION("""COMPUTED_VALUE"""),"maintenance_officer")</f>
        <v>0</v>
      </c>
    </row>
    <row r="85" spans="1:6">
      <c r="A85">
        <f>IFERROR(__xludf.DUMMYFUNCTION("""COMPUTED_VALUE"""),"admin_staff")</f>
        <v>0</v>
      </c>
      <c r="B85">
        <f>IFERROR000</f>
        <v>0</v>
      </c>
      <c r="C85">
        <f>IFERROR(__xludf.DUMMYFUNCTION("""COMPUTED_VALUE"""),"admin_staff")</f>
        <v>0</v>
      </c>
      <c r="D85">
        <f>IFERROR(__xludf.DUMMYFUNCTION("""COMPUTED_VALUE"""),"Clerks")</f>
        <v>0</v>
      </c>
      <c r="E85">
        <f>IFERROR01v</f>
        <v>0</v>
      </c>
      <c r="F85">
        <f>IFERROR(__xludf.DUMMYFUNCTION("""COMPUTED_VALUE"""),"clerks")</f>
        <v>0</v>
      </c>
    </row>
    <row r="86" spans="1:6">
      <c r="A86">
        <f>IFERROR(__xludf.DUMMYFUNCTION("""COMPUTED_VALUE"""),"admin_staff")</f>
        <v>0</v>
      </c>
      <c r="B86">
        <f>IFERROR000</f>
        <v>0</v>
      </c>
      <c r="C86">
        <f>IFERROR(__xludf.DUMMYFUNCTION("""COMPUTED_VALUE"""),"admin_staff")</f>
        <v>0</v>
      </c>
      <c r="D86">
        <f>IFERROR(__xludf.DUMMYFUNCTION("""COMPUTED_VALUE"""),"Social Welfare Officers")</f>
        <v>0</v>
      </c>
      <c r="E86">
        <f>IFERROR(5b</f>
        <v>0</v>
      </c>
      <c r="F86">
        <f>IFERROR(__xludf.DUMMYFUNCTION("""COMPUTED_VALUE"""),"social_welfare_officers")</f>
        <v>0</v>
      </c>
    </row>
    <row r="87" spans="1:6">
      <c r="A87">
        <f>IFERROR(__xludf.DUMMYFUNCTION("""COMPUTED_VALUE"""),"non_medical")</f>
        <v>0</v>
      </c>
      <c r="B87">
        <f>IFERROR000</f>
        <v>0</v>
      </c>
      <c r="C87">
        <f>IFERROR(__xludf.DUMMYFUNCTION("""COMPUTED_VALUE"""),"non_medical")</f>
        <v>0</v>
      </c>
      <c r="D87">
        <f>IFERROR(__xludf.DUMMYFUNCTION("""COMPUTED_VALUE"""),"Security Guards")</f>
        <v>0</v>
      </c>
      <c r="E87">
        <f>IFERROR01w</f>
        <v>0</v>
      </c>
      <c r="F87">
        <f>IFERROR(__xludf.DUMMYFUNCTION("""COMPUTED_VALUE"""),"health_attendants")</f>
        <v>0</v>
      </c>
    </row>
    <row r="88" spans="1:6">
      <c r="A88">
        <f>IFERROR(__xludf.DUMMYFUNCTION("""COMPUTED_VALUE"""),"non_medical")</f>
        <v>0</v>
      </c>
      <c r="B88">
        <f>IFERROR000</f>
        <v>0</v>
      </c>
      <c r="C88">
        <f>IFERROR(__xludf.DUMMYFUNCTION("""COMPUTED_VALUE"""),"non_medical")</f>
        <v>0</v>
      </c>
      <c r="D88">
        <f>IFERROR(__xludf.DUMMYFUNCTION("""COMPUTED_VALUE"""),"Cleaners")</f>
        <v>0</v>
      </c>
      <c r="E88">
        <f>IFERROR03V</f>
        <v>0</v>
      </c>
      <c r="F88">
        <f>IFERROR(__xludf.DUMMYFUNCTION("""COMPUTED_VALUE"""),"cleaners")</f>
        <v>0</v>
      </c>
    </row>
    <row r="89" spans="1:6">
      <c r="A89">
        <f>IFERROR(__xludf.DUMMYFUNCTION("""COMPUTED_VALUE"""),"non_medical")</f>
        <v>0</v>
      </c>
      <c r="B89">
        <f>IFERROR000</f>
        <v>0</v>
      </c>
      <c r="C89">
        <f>IFERROR(__xludf.DUMMYFUNCTION("""COMPUTED_VALUE"""),"non_medical")</f>
        <v>0</v>
      </c>
      <c r="D89">
        <f>IFERROR(__xludf.DUMMYFUNCTION("""COMPUTED_VALUE"""),"Account Officer")</f>
        <v>0</v>
      </c>
      <c r="E89">
        <f>IFERROR00P</f>
        <v>0</v>
      </c>
      <c r="F89">
        <f>IFERROR(__xludf.DUMMYFUNCTION("""COMPUTED_VALUE"""),"security_guards")</f>
        <v>0</v>
      </c>
    </row>
    <row r="90" spans="1:6">
      <c r="A90">
        <f>IFERROR(__xludf.DUMMYFUNCTION("""COMPUTED_VALUE"""),"non_medical")</f>
        <v>0</v>
      </c>
      <c r="B90">
        <f>IFERROR000</f>
        <v>0</v>
      </c>
      <c r="C90">
        <f>IFERROR(__xludf.DUMMYFUNCTION("""COMPUTED_VALUE"""),"non_medical")</f>
        <v>0</v>
      </c>
      <c r="D90">
        <f>IFERROR(__xludf.DUMMYFUNCTION("""COMPUTED_VALUE"""),"Drivers")</f>
        <v>0</v>
      </c>
      <c r="E90">
        <f>IFERROR(5Z</f>
        <v>0</v>
      </c>
      <c r="F90">
        <f>IFERROR(__xludf.DUMMYFUNCTION("""COMPUTED_VALUE"""),"drivers")</f>
        <v>0</v>
      </c>
    </row>
    <row r="91" spans="1:6">
      <c r="A91">
        <f>IFERROR(__xludf.DUMMYFUNCTION("""COMPUTED_VALUE"""),"non_medical")</f>
        <v>0</v>
      </c>
      <c r="B91">
        <f>IFERROR000</f>
        <v>0</v>
      </c>
      <c r="C91">
        <f>IFERROR(__xludf.DUMMYFUNCTION("""COMPUTED_VALUE"""),"non_medical")</f>
        <v>0</v>
      </c>
      <c r="D91">
        <f>IFERROR(__xludf.DUMMYFUNCTION("""COMPUTED_VALUE"""),"None")</f>
        <v>0</v>
      </c>
      <c r="E91">
        <f>IFERROR08V</f>
        <v>0</v>
      </c>
      <c r="F91">
        <f>IFERROR(__xludf.DUMMYFUNCTION("""COMPUTED_VALUE"""),"none")</f>
        <v>0</v>
      </c>
    </row>
    <row r="92" spans="1:6">
      <c r="A92">
        <f>IFERROR(__xludf.DUMMYFUNCTION("""COMPUTED_VALUE"""),"facility_type")</f>
        <v>0</v>
      </c>
      <c r="B92">
        <f>IFERROR000</f>
        <v>0</v>
      </c>
      <c r="C92">
        <f>IFERROR(__xludf.DUMMYFUNCTION("""COMPUTED_VALUE"""),"facility_type")</f>
        <v>0</v>
      </c>
      <c r="D92">
        <f>IFERROR(__xludf.DUMMYFUNCTION("""COMPUTED_VALUE"""),"Public")</f>
        <v>0</v>
      </c>
      <c r="E92">
        <f>IFERROR05c</f>
        <v>0</v>
      </c>
      <c r="F92">
        <f>IFERROR(__xludf.DUMMYFUNCTION("""COMPUTED_VALUE"""),"public")</f>
        <v>0</v>
      </c>
    </row>
    <row r="93" spans="1:6">
      <c r="A93">
        <f>IFERROR(__xludf.DUMMYFUNCTION("""COMPUTED_VALUE"""),"facility_type")</f>
        <v>0</v>
      </c>
      <c r="B93">
        <f>IFERROR000</f>
        <v>0</v>
      </c>
      <c r="C93">
        <f>IFERROR(__xludf.DUMMYFUNCTION("""COMPUTED_VALUE"""),"facility_type")</f>
        <v>0</v>
      </c>
      <c r="D93">
        <f>IFERROR(__xludf.DUMMYFUNCTION("""COMPUTED_VALUE"""),"Private")</f>
        <v>0</v>
      </c>
      <c r="E93">
        <f>IFERROR(3D</f>
        <v>0</v>
      </c>
      <c r="F93">
        <f>IFERROR(__xludf.DUMMYFUNCTION("""COMPUTED_VALUE"""),"private")</f>
        <v>0</v>
      </c>
    </row>
    <row r="94" spans="1:6">
      <c r="A94">
        <f>IFERROR(__xludf.DUMMYFUNCTION("""COMPUTED_VALUE"""),"facility_type")</f>
        <v>0</v>
      </c>
      <c r="B94">
        <f>IFERROR000</f>
        <v>0</v>
      </c>
      <c r="C94">
        <f>IFERROR(__xludf.DUMMYFUNCTION("""COMPUTED_VALUE"""),"facility_type")</f>
        <v>0</v>
      </c>
      <c r="D94">
        <f>IFERROR(__xludf.DUMMYFUNCTION("""COMPUTED_VALUE"""),"FBO")</f>
        <v>0</v>
      </c>
      <c r="E94">
        <f>IFERROR(0n</f>
        <v>0</v>
      </c>
      <c r="F94">
        <f>IFERROR(__xludf.DUMMYFUNCTION("""COMPUTED_VALUE"""),"fbo")</f>
        <v>0</v>
      </c>
    </row>
    <row r="95" spans="1:6">
      <c r="A95">
        <f>IFERROR(__xludf.DUMMYFUNCTION("""COMPUTED_VALUE"""),"facility_type")</f>
        <v>0</v>
      </c>
      <c r="B95">
        <f>IFERROR000</f>
        <v>0</v>
      </c>
      <c r="C95">
        <f>IFERROR(__xludf.DUMMYFUNCTION("""COMPUTED_VALUE"""),"facility_type")</f>
        <v>0</v>
      </c>
      <c r="D95">
        <f>IFERROR(__xludf.DUMMYFUNCTION("""COMPUTED_VALUE"""),"NGO")</f>
        <v>0</v>
      </c>
      <c r="E95">
        <f>IFERROR(7t</f>
        <v>0</v>
      </c>
      <c r="F95">
        <f>IFERROR(__xludf.DUMMYFUNCTION("""COMPUTED_VALUE"""),"ngo")</f>
        <v>0</v>
      </c>
    </row>
    <row r="96" spans="1:6">
      <c r="A96">
        <f>IFERROR(__xludf.DUMMYFUNCTION("""COMPUTED_VALUE"""),"true_false")</f>
        <v>0</v>
      </c>
      <c r="B96">
        <f>IFERROR(00</f>
        <v>0</v>
      </c>
      <c r="C96">
        <f>IFERROR(__xludf.DUMMYFUNCTION("""COMPUTED_VALUE"""),"true_false")</f>
        <v>0</v>
      </c>
      <c r="D96">
        <f>IFERROR(__xludf.DUMMYFUNCTION("""COMPUTED_VALUE"""),"True")</f>
        <v>0</v>
      </c>
      <c r="E96">
        <f>IFERROR07L</f>
        <v>0</v>
      </c>
      <c r="F96">
        <f>IFERROR(__xludf.DUMMYFUNCTION("""COMPUTED_VALUE"""),"true")</f>
        <v>0</v>
      </c>
    </row>
    <row r="97" spans="1:6">
      <c r="A97">
        <f>IFERROR(__xludf.DUMMYFUNCTION("""COMPUTED_VALUE"""),"true_false")</f>
        <v>0</v>
      </c>
      <c r="B97">
        <f>IFERROR(00</f>
        <v>0</v>
      </c>
      <c r="C97">
        <f>IFERROR(__xludf.DUMMYFUNCTION("""COMPUTED_VALUE"""),"true_false")</f>
        <v>0</v>
      </c>
      <c r="D97">
        <f>IFERROR(__xludf.DUMMYFUNCTION("""COMPUTED_VALUE"""),"False")</f>
        <v>0</v>
      </c>
      <c r="E97">
        <f>IFERROR(5t</f>
        <v>0</v>
      </c>
      <c r="F97">
        <f>IFERROR(__xludf.DUMMYFUNCTION("""COMPUTED_VALUE"""),"false")</f>
        <v>0</v>
      </c>
    </row>
    <row r="98" spans="1:6">
      <c r="A98">
        <f>IFERROR(__xludf.DUMMYFUNCTION("""COMPUTED_VALUE"""),"organizations")</f>
        <v>0</v>
      </c>
      <c r="B98">
        <f>IFERROR(00</f>
        <v>0</v>
      </c>
      <c r="C98">
        <f>IFERROR(__xludf.DUMMYFUNCTION("""COMPUTED_VALUE"""),"organizations")</f>
        <v>0</v>
      </c>
      <c r="D98">
        <f>IFERROR(__xludf.DUMMYFUNCTION("""COMPUTED_VALUE"""),"FMoH")</f>
        <v>0</v>
      </c>
      <c r="E98">
        <f>IFERROR01h</f>
        <v>0</v>
      </c>
      <c r="F98">
        <f>IFERROR(__xludf.DUMMYFUNCTION("""COMPUTED_VALUE"""),"fmoh")</f>
        <v>0</v>
      </c>
    </row>
    <row r="99" spans="1:6">
      <c r="A99">
        <f>IFERROR(__xludf.DUMMYFUNCTION("""COMPUTED_VALUE"""),"organizations")</f>
        <v>0</v>
      </c>
      <c r="B99">
        <f>IFERROR(00</f>
        <v>0</v>
      </c>
      <c r="C99">
        <f>IFERROR(__xludf.DUMMYFUNCTION("""COMPUTED_VALUE"""),"organizations")</f>
        <v>0</v>
      </c>
      <c r="D99">
        <f>IFERROR(__xludf.DUMMYFUNCTION("""COMPUTED_VALUE"""),"NPHCDA")</f>
        <v>0</v>
      </c>
      <c r="E99">
        <f>IFERROR00V</f>
        <v>0</v>
      </c>
      <c r="F99">
        <f>IFERROR(__xludf.DUMMYFUNCTION("""COMPUTED_VALUE"""),"nphcda")</f>
        <v>0</v>
      </c>
    </row>
    <row r="100" spans="1:6">
      <c r="A100">
        <f>IFERROR(__xludf.DUMMYFUNCTION("""COMPUTED_VALUE"""),"organizations")</f>
        <v>0</v>
      </c>
      <c r="B100">
        <f>IFERROR(00</f>
        <v>0</v>
      </c>
      <c r="C100">
        <f>IFERROR(__xludf.DUMMYFUNCTION("""COMPUTED_VALUE"""),"organizations")</f>
        <v>0</v>
      </c>
      <c r="D100">
        <f>IFERROR(__xludf.DUMMYFUNCTION("""COMPUTED_VALUE"""),"NACA")</f>
        <v>0</v>
      </c>
      <c r="E100">
        <f>IFERROR08Z</f>
        <v>0</v>
      </c>
      <c r="F100">
        <f>IFERROR(__xludf.DUMMYFUNCTION("""COMPUTED_VALUE"""),"naca")</f>
        <v>0</v>
      </c>
    </row>
    <row r="101" spans="1:6">
      <c r="A101">
        <f>IFERROR(__xludf.DUMMYFUNCTION("""COMPUTED_VALUE"""),"organizations")</f>
        <v>0</v>
      </c>
      <c r="B101">
        <f>IFERROR(00</f>
        <v>0</v>
      </c>
      <c r="C101">
        <f>IFERROR(__xludf.DUMMYFUNCTION("""COMPUTED_VALUE"""),"organizations")</f>
        <v>0</v>
      </c>
      <c r="D101">
        <f>IFERROR(__xludf.DUMMYFUNCTION("""COMPUTED_VALUE"""),"SMoH")</f>
        <v>0</v>
      </c>
      <c r="E101">
        <f>IFERROR02v</f>
        <v>0</v>
      </c>
      <c r="F101">
        <f>IFERROR(__xludf.DUMMYFUNCTION("""COMPUTED_VALUE"""),"smoh")</f>
        <v>0</v>
      </c>
    </row>
    <row r="102" spans="1:6">
      <c r="A102">
        <f>IFERROR(__xludf.DUMMYFUNCTION("""COMPUTED_VALUE"""),"organizations")</f>
        <v>0</v>
      </c>
      <c r="B102">
        <f>IFERROR(00</f>
        <v>0</v>
      </c>
      <c r="C102">
        <f>IFERROR(__xludf.DUMMYFUNCTION("""COMPUTED_VALUE"""),"organizations")</f>
        <v>0</v>
      </c>
      <c r="D102">
        <f>IFERROR(__xludf.DUMMYFUNCTION("""COMPUTED_VALUE"""),"SPHCDA")</f>
        <v>0</v>
      </c>
      <c r="E102">
        <f>IFERROR01B</f>
        <v>0</v>
      </c>
      <c r="F102">
        <f>IFERROR(__xludf.DUMMYFUNCTION("""COMPUTED_VALUE"""),"sphcda")</f>
        <v>0</v>
      </c>
    </row>
    <row r="103" spans="1:6">
      <c r="A103">
        <f>IFERROR(__xludf.DUMMYFUNCTION("""COMPUTED_VALUE"""),"organizations")</f>
        <v>0</v>
      </c>
      <c r="B103">
        <f>IFERROR(00</f>
        <v>0</v>
      </c>
      <c r="C103">
        <f>IFERROR(__xludf.DUMMYFUNCTION("""COMPUTED_VALUE"""),"organizations")</f>
        <v>0</v>
      </c>
      <c r="D103">
        <f>IFERROR(__xludf.DUMMYFUNCTION("""COMPUTED_VALUE"""),"SOML")</f>
        <v>0</v>
      </c>
      <c r="E103">
        <f>IFERROR02f</f>
        <v>0</v>
      </c>
      <c r="F103">
        <f>IFERROR(__xludf.DUMMYFUNCTION("""COMPUTED_VALUE"""),"soml")</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03067B8B9B1040943A03CFDBAA0EE7" ma:contentTypeVersion="10" ma:contentTypeDescription="Create a new document." ma:contentTypeScope="" ma:versionID="6d88914c23e768dc7acecd4f0ea5243b">
  <xsd:schema xmlns:xsd="http://www.w3.org/2001/XMLSchema" xmlns:xs="http://www.w3.org/2001/XMLSchema" xmlns:p="http://schemas.microsoft.com/office/2006/metadata/properties" xmlns:ns2="9d20c70b-8447-4dde-97ee-96e9f4af383d" xmlns:ns3="f936ed8f-3aee-4e87-b52b-c856f9c6b617" targetNamespace="http://schemas.microsoft.com/office/2006/metadata/properties" ma:root="true" ma:fieldsID="e2411008527ec6aac271c24b64717d27" ns2:_="" ns3:_="">
    <xsd:import namespace="9d20c70b-8447-4dde-97ee-96e9f4af383d"/>
    <xsd:import namespace="f936ed8f-3aee-4e87-b52b-c856f9c6b6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20c70b-8447-4dde-97ee-96e9f4af38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36ed8f-3aee-4e87-b52b-c856f9c6b6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53379-8C17-436F-9CE0-EF1708E6C3C9}"/>
</file>

<file path=customXml/itemProps2.xml><?xml version="1.0" encoding="utf-8"?>
<ds:datastoreItem xmlns:ds="http://schemas.openxmlformats.org/officeDocument/2006/customXml" ds:itemID="{03CF7664-9BF4-43D7-BD04-2C7037087836}"/>
</file>

<file path=customXml/itemProps3.xml><?xml version="1.0" encoding="utf-8"?>
<ds:datastoreItem xmlns:ds="http://schemas.openxmlformats.org/officeDocument/2006/customXml" ds:itemID="{0FB2224D-5243-448F-8FF7-7AD56FFDE6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dataelements</vt:lpstr>
      <vt:lpstr>optionset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2019-05-06T13:59:58Z</dcterms:created>
  <dcterms:modified xsi:type="dcterms:W3CDTF">2019-05-06T13:59:58Z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ContentTypeId">
    <vt:lpwstr>0x0101004603067B8B9B1040943A03CFDBAA0EE7</vt:lpwstr>
  </property>
  <property fmtid="{D5CDD505-2E9C-101B-9397-08002B2CF9AE}" pid="4" name="LastModifiedDateTime_Client">
    <vt:filetime>2020-02-06T09:11:38Z</vt:filetime>
  </property>
  <property fmtid="{D5CDD505-2E9C-101B-9397-08002B2CF9AE}" pid="5" name="CreatedDateTime_Client">
    <vt:filetime>2020-02-06T09:11:38Z</vt:filetime>
  </property>
</Properties>
</file>